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30" documentId="8_{FBB6257C-0812-48F8-B3B9-A9FA1F9F685B}" xr6:coauthVersionLast="47" xr6:coauthVersionMax="47" xr10:uidLastSave="{063595BB-6E15-4D47-A200-2933CE0A4657}"/>
  <bookViews>
    <workbookView xWindow="4240" yWindow="4240" windowWidth="28800" windowHeight="15370" xr2:uid="{00000000-000D-0000-FFFF-FFFF00000000}"/>
  </bookViews>
  <sheets>
    <sheet name="First year inputs" sheetId="1" r:id="rId1"/>
    <sheet name="First year summary" sheetId="5" r:id="rId2"/>
    <sheet name="10 year summary" sheetId="2" r:id="rId3"/>
    <sheet name="Return on investment" sheetId="7" r:id="rId4"/>
    <sheet name="Mortgage schedule" sheetId="4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5" l="1"/>
  <c r="E20" i="5" s="1"/>
  <c r="B7" i="5"/>
  <c r="B16" i="1"/>
  <c r="B23" i="5"/>
  <c r="C12" i="2" s="1"/>
  <c r="F9" i="1"/>
  <c r="E19" i="2" s="1"/>
  <c r="E83" i="2" s="1"/>
  <c r="B25" i="5"/>
  <c r="J3" i="4"/>
  <c r="C3" i="4" s="1"/>
  <c r="J6" i="4"/>
  <c r="F10" i="1"/>
  <c r="E3" i="5"/>
  <c r="E6" i="5" s="1"/>
  <c r="E25" i="5" s="1"/>
  <c r="E4" i="5"/>
  <c r="C27" i="1"/>
  <c r="C20" i="1"/>
  <c r="C66" i="2"/>
  <c r="C69" i="2" s="1"/>
  <c r="B40" i="2"/>
  <c r="K40" i="2" s="1"/>
  <c r="C71" i="2"/>
  <c r="C75" i="2" s="1"/>
  <c r="C67" i="2"/>
  <c r="C76" i="2" s="1"/>
  <c r="D60" i="2"/>
  <c r="E60" i="2"/>
  <c r="F60" i="2"/>
  <c r="G60" i="2"/>
  <c r="H60" i="2"/>
  <c r="I60" i="2"/>
  <c r="J60" i="2"/>
  <c r="K60" i="2"/>
  <c r="L60" i="2"/>
  <c r="C60" i="2"/>
  <c r="C19" i="2"/>
  <c r="C83" i="2" s="1"/>
  <c r="K19" i="2"/>
  <c r="G19" i="2"/>
  <c r="J19" i="2"/>
  <c r="F19" i="2"/>
  <c r="F83" i="2" s="1"/>
  <c r="B31" i="5"/>
  <c r="B30" i="5" s="1"/>
  <c r="B3" i="2"/>
  <c r="E3" i="2" s="1"/>
  <c r="D3" i="2"/>
  <c r="F8" i="1"/>
  <c r="J7" i="4" s="1"/>
  <c r="C52" i="2"/>
  <c r="C4" i="2"/>
  <c r="L27" i="2"/>
  <c r="B29" i="2"/>
  <c r="C29" i="2" s="1"/>
  <c r="L29" i="2"/>
  <c r="K27" i="2"/>
  <c r="J27" i="2"/>
  <c r="I27" i="2"/>
  <c r="H27" i="2"/>
  <c r="G27" i="2"/>
  <c r="F27" i="2"/>
  <c r="E27" i="2"/>
  <c r="D27" i="2"/>
  <c r="C27" i="2"/>
  <c r="C68" i="2"/>
  <c r="D68" i="2"/>
  <c r="E68" i="2"/>
  <c r="F68" i="2"/>
  <c r="G68" i="2"/>
  <c r="H68" i="2"/>
  <c r="I68" i="2" s="1"/>
  <c r="J68" i="2" s="1"/>
  <c r="K68" i="2" s="1"/>
  <c r="L68" i="2" s="1"/>
  <c r="D66" i="2"/>
  <c r="E66" i="2"/>
  <c r="F66" i="2"/>
  <c r="G66" i="2"/>
  <c r="H66" i="2"/>
  <c r="I66" i="2"/>
  <c r="J66" i="2"/>
  <c r="K66" i="2"/>
  <c r="L66" i="2"/>
  <c r="C41" i="2"/>
  <c r="C59" i="2" s="1"/>
  <c r="C61" i="2" s="1"/>
  <c r="C53" i="2"/>
  <c r="C54" i="2" s="1"/>
  <c r="D3" i="7"/>
  <c r="B29" i="5"/>
  <c r="B18" i="5"/>
  <c r="B17" i="5"/>
  <c r="B15" i="5"/>
  <c r="B14" i="5"/>
  <c r="B13" i="5"/>
  <c r="B12" i="5"/>
  <c r="B28" i="1"/>
  <c r="B11" i="2" s="1"/>
  <c r="B3" i="5"/>
  <c r="J4" i="4"/>
  <c r="J5" i="4"/>
  <c r="B4" i="4"/>
  <c r="B5" i="4"/>
  <c r="B6" i="4"/>
  <c r="B7" i="4"/>
  <c r="B8" i="4"/>
  <c r="B9" i="4" s="1"/>
  <c r="B10" i="4" s="1"/>
  <c r="B11" i="4" s="1"/>
  <c r="B12" i="4" s="1"/>
  <c r="G83" i="2"/>
  <c r="L40" i="2"/>
  <c r="H40" i="2"/>
  <c r="D40" i="2"/>
  <c r="D29" i="2"/>
  <c r="F29" i="2"/>
  <c r="H29" i="2"/>
  <c r="J29" i="2"/>
  <c r="D4" i="7"/>
  <c r="J83" i="2"/>
  <c r="E29" i="2"/>
  <c r="G29" i="2"/>
  <c r="I29" i="2"/>
  <c r="K29" i="2"/>
  <c r="K83" i="2"/>
  <c r="E29" i="5"/>
  <c r="B19" i="5" l="1"/>
  <c r="C25" i="2" s="1"/>
  <c r="D3" i="4"/>
  <c r="D5" i="4"/>
  <c r="D4" i="4"/>
  <c r="D10" i="4"/>
  <c r="D7" i="4"/>
  <c r="D8" i="4"/>
  <c r="D12" i="4"/>
  <c r="D9" i="4"/>
  <c r="D6" i="4"/>
  <c r="D11" i="4"/>
  <c r="H77" i="2"/>
  <c r="L77" i="2"/>
  <c r="J77" i="2"/>
  <c r="E77" i="2"/>
  <c r="G77" i="2"/>
  <c r="D77" i="2"/>
  <c r="I77" i="2"/>
  <c r="K77" i="2"/>
  <c r="F77" i="2"/>
  <c r="E3" i="4"/>
  <c r="C77" i="2"/>
  <c r="C78" i="2" s="1"/>
  <c r="D7" i="7" s="1"/>
  <c r="D11" i="2"/>
  <c r="D12" i="2" s="1"/>
  <c r="H11" i="2"/>
  <c r="F11" i="2"/>
  <c r="L11" i="2"/>
  <c r="I11" i="2"/>
  <c r="G11" i="2"/>
  <c r="K11" i="2"/>
  <c r="J11" i="2"/>
  <c r="E11" i="2"/>
  <c r="D25" i="2"/>
  <c r="E25" i="2" s="1"/>
  <c r="F25" i="2" s="1"/>
  <c r="G25" i="2" s="1"/>
  <c r="H25" i="2" s="1"/>
  <c r="I25" i="2" s="1"/>
  <c r="J25" i="2" s="1"/>
  <c r="K25" i="2" s="1"/>
  <c r="L25" i="2" s="1"/>
  <c r="G3" i="2"/>
  <c r="F40" i="2"/>
  <c r="H3" i="2"/>
  <c r="E40" i="2"/>
  <c r="D4" i="2"/>
  <c r="E4" i="2" s="1"/>
  <c r="I19" i="2"/>
  <c r="I83" i="2" s="1"/>
  <c r="C72" i="2"/>
  <c r="C73" i="2" s="1"/>
  <c r="F3" i="2"/>
  <c r="D71" i="2"/>
  <c r="L3" i="2"/>
  <c r="J40" i="2"/>
  <c r="C40" i="2"/>
  <c r="C42" i="2" s="1"/>
  <c r="D19" i="2"/>
  <c r="D83" i="2" s="1"/>
  <c r="G40" i="2"/>
  <c r="J3" i="2"/>
  <c r="H19" i="2"/>
  <c r="H83" i="2" s="1"/>
  <c r="K3" i="2"/>
  <c r="I40" i="2"/>
  <c r="I3" i="2"/>
  <c r="L19" i="2"/>
  <c r="L83" i="2" s="1"/>
  <c r="B8" i="5"/>
  <c r="B9" i="5" s="1"/>
  <c r="B22" i="5" s="1"/>
  <c r="B24" i="5" s="1"/>
  <c r="B27" i="1"/>
  <c r="B5" i="2" s="1"/>
  <c r="C5" i="2" s="1"/>
  <c r="C6" i="2" s="1"/>
  <c r="B17" i="1"/>
  <c r="C43" i="2" l="1"/>
  <c r="C50" i="2" s="1"/>
  <c r="D41" i="2"/>
  <c r="F3" i="4"/>
  <c r="D13" i="4"/>
  <c r="L3" i="4" s="1"/>
  <c r="E12" i="2"/>
  <c r="F12" i="2" s="1"/>
  <c r="G12" i="2" s="1"/>
  <c r="H12" i="2" s="1"/>
  <c r="I12" i="2" s="1"/>
  <c r="J12" i="2" s="1"/>
  <c r="K12" i="2" s="1"/>
  <c r="L12" i="2" s="1"/>
  <c r="D26" i="2"/>
  <c r="B9" i="1"/>
  <c r="B13" i="1" s="1"/>
  <c r="E10" i="5" s="1"/>
  <c r="H26" i="2"/>
  <c r="F26" i="2"/>
  <c r="G26" i="2"/>
  <c r="L26" i="2"/>
  <c r="J26" i="2"/>
  <c r="E26" i="2"/>
  <c r="C26" i="2"/>
  <c r="I26" i="2"/>
  <c r="K26" i="2"/>
  <c r="E71" i="2"/>
  <c r="D67" i="2"/>
  <c r="D75" i="2"/>
  <c r="E31" i="5"/>
  <c r="B26" i="5"/>
  <c r="E5" i="2"/>
  <c r="E6" i="2" s="1"/>
  <c r="F4" i="2"/>
  <c r="D5" i="2"/>
  <c r="D6" i="2" s="1"/>
  <c r="E9" i="5"/>
  <c r="C10" i="2"/>
  <c r="C24" i="2"/>
  <c r="B19" i="1" l="1"/>
  <c r="G3" i="4"/>
  <c r="C4" i="4" s="1"/>
  <c r="D42" i="2"/>
  <c r="D59" i="2"/>
  <c r="D61" i="2" s="1"/>
  <c r="D76" i="2"/>
  <c r="D78" i="2" s="1"/>
  <c r="E7" i="7" s="1"/>
  <c r="D69" i="2"/>
  <c r="D72" i="2"/>
  <c r="D73" i="2" s="1"/>
  <c r="C28" i="2"/>
  <c r="C30" i="2" s="1"/>
  <c r="C35" i="2" s="1"/>
  <c r="C48" i="2" s="1"/>
  <c r="E75" i="2"/>
  <c r="E67" i="2"/>
  <c r="F71" i="2"/>
  <c r="E11" i="5"/>
  <c r="B20" i="1"/>
  <c r="B21" i="1" s="1"/>
  <c r="E10" i="2"/>
  <c r="E24" i="2"/>
  <c r="E28" i="2" s="1"/>
  <c r="E30" i="2" s="1"/>
  <c r="E35" i="2" s="1"/>
  <c r="E48" i="2" s="1"/>
  <c r="G4" i="2"/>
  <c r="F5" i="2"/>
  <c r="F6" i="2" s="1"/>
  <c r="D24" i="2"/>
  <c r="D28" i="2" s="1"/>
  <c r="D30" i="2" s="1"/>
  <c r="D35" i="2" s="1"/>
  <c r="D48" i="2" s="1"/>
  <c r="D10" i="2"/>
  <c r="E21" i="5"/>
  <c r="E32" i="5"/>
  <c r="E15" i="5"/>
  <c r="C14" i="2"/>
  <c r="C13" i="2"/>
  <c r="E76" i="2" l="1"/>
  <c r="E72" i="2"/>
  <c r="E73" i="2" s="1"/>
  <c r="E69" i="2"/>
  <c r="E4" i="4"/>
  <c r="E78" i="2"/>
  <c r="F7" i="7" s="1"/>
  <c r="D43" i="2"/>
  <c r="D50" i="2" s="1"/>
  <c r="E41" i="2"/>
  <c r="F75" i="2"/>
  <c r="G71" i="2"/>
  <c r="F67" i="2"/>
  <c r="C82" i="2"/>
  <c r="C84" i="2" s="1"/>
  <c r="C18" i="2"/>
  <c r="C20" i="2" s="1"/>
  <c r="C34" i="2" s="1"/>
  <c r="D14" i="2"/>
  <c r="D13" i="2"/>
  <c r="F24" i="2"/>
  <c r="F28" i="2" s="1"/>
  <c r="F30" i="2" s="1"/>
  <c r="F35" i="2" s="1"/>
  <c r="F48" i="2" s="1"/>
  <c r="F10" i="2"/>
  <c r="E14" i="2"/>
  <c r="E13" i="2"/>
  <c r="H4" i="2"/>
  <c r="G5" i="2"/>
  <c r="G6" i="2" s="1"/>
  <c r="F69" i="2" l="1"/>
  <c r="F76" i="2"/>
  <c r="F72" i="2"/>
  <c r="F73" i="2" s="1"/>
  <c r="E59" i="2"/>
  <c r="E61" i="2" s="1"/>
  <c r="E42" i="2"/>
  <c r="H71" i="2"/>
  <c r="G75" i="2"/>
  <c r="G67" i="2"/>
  <c r="F78" i="2"/>
  <c r="G7" i="7" s="1"/>
  <c r="F4" i="4"/>
  <c r="G24" i="2"/>
  <c r="G28" i="2" s="1"/>
  <c r="G30" i="2" s="1"/>
  <c r="G35" i="2" s="1"/>
  <c r="G48" i="2" s="1"/>
  <c r="G10" i="2"/>
  <c r="I4" i="2"/>
  <c r="H5" i="2"/>
  <c r="H6" i="2" s="1"/>
  <c r="E82" i="2"/>
  <c r="E84" i="2" s="1"/>
  <c r="E18" i="2"/>
  <c r="E20" i="2" s="1"/>
  <c r="E34" i="2" s="1"/>
  <c r="D18" i="2"/>
  <c r="D20" i="2" s="1"/>
  <c r="D34" i="2" s="1"/>
  <c r="D82" i="2"/>
  <c r="D84" i="2" s="1"/>
  <c r="F14" i="2"/>
  <c r="F13" i="2"/>
  <c r="C47" i="2"/>
  <c r="C51" i="2" s="1"/>
  <c r="C36" i="2"/>
  <c r="D8" i="7" s="1"/>
  <c r="G4" i="4" l="1"/>
  <c r="C5" i="4" s="1"/>
  <c r="G69" i="2"/>
  <c r="G76" i="2"/>
  <c r="G78" i="2" s="1"/>
  <c r="H7" i="7" s="1"/>
  <c r="G72" i="2"/>
  <c r="G73" i="2" s="1"/>
  <c r="I71" i="2"/>
  <c r="H75" i="2"/>
  <c r="H67" i="2"/>
  <c r="E43" i="2"/>
  <c r="E50" i="2" s="1"/>
  <c r="F41" i="2"/>
  <c r="F82" i="2"/>
  <c r="F84" i="2" s="1"/>
  <c r="F18" i="2"/>
  <c r="F20" i="2" s="1"/>
  <c r="F34" i="2" s="1"/>
  <c r="G13" i="2"/>
  <c r="G14" i="2"/>
  <c r="D16" i="7"/>
  <c r="D9" i="7"/>
  <c r="H10" i="2"/>
  <c r="H24" i="2"/>
  <c r="H28" i="2" s="1"/>
  <c r="H30" i="2" s="1"/>
  <c r="H35" i="2" s="1"/>
  <c r="H48" i="2" s="1"/>
  <c r="C55" i="2"/>
  <c r="C62" i="2"/>
  <c r="D47" i="2"/>
  <c r="D51" i="2" s="1"/>
  <c r="D36" i="2"/>
  <c r="E8" i="7" s="1"/>
  <c r="E47" i="2"/>
  <c r="E36" i="2"/>
  <c r="F8" i="7" s="1"/>
  <c r="J4" i="2"/>
  <c r="I5" i="2"/>
  <c r="I6" i="2" s="1"/>
  <c r="I75" i="2" l="1"/>
  <c r="J71" i="2"/>
  <c r="I67" i="2"/>
  <c r="E5" i="4"/>
  <c r="F59" i="2"/>
  <c r="F61" i="2" s="1"/>
  <c r="F42" i="2"/>
  <c r="H69" i="2"/>
  <c r="H72" i="2"/>
  <c r="H73" i="2" s="1"/>
  <c r="H76" i="2"/>
  <c r="H78" i="2"/>
  <c r="I7" i="7" s="1"/>
  <c r="E51" i="2"/>
  <c r="E62" i="2" s="1"/>
  <c r="G82" i="2"/>
  <c r="G84" i="2" s="1"/>
  <c r="G18" i="2"/>
  <c r="G20" i="2" s="1"/>
  <c r="G34" i="2" s="1"/>
  <c r="K4" i="2"/>
  <c r="J5" i="2"/>
  <c r="J6" i="2" s="1"/>
  <c r="D55" i="2"/>
  <c r="D62" i="2"/>
  <c r="H13" i="2"/>
  <c r="H14" i="2"/>
  <c r="I24" i="2"/>
  <c r="I28" i="2" s="1"/>
  <c r="I30" i="2" s="1"/>
  <c r="I35" i="2" s="1"/>
  <c r="I48" i="2" s="1"/>
  <c r="I10" i="2"/>
  <c r="E9" i="7"/>
  <c r="F9" i="7" s="1"/>
  <c r="E16" i="7"/>
  <c r="F16" i="7"/>
  <c r="D10" i="7"/>
  <c r="D14" i="7" s="1"/>
  <c r="F36" i="2"/>
  <c r="G8" i="7" s="1"/>
  <c r="F47" i="2"/>
  <c r="E55" i="2" l="1"/>
  <c r="G41" i="2"/>
  <c r="F43" i="2"/>
  <c r="F50" i="2" s="1"/>
  <c r="F51" i="2" s="1"/>
  <c r="F5" i="4"/>
  <c r="J75" i="2"/>
  <c r="J67" i="2"/>
  <c r="K71" i="2"/>
  <c r="I76" i="2"/>
  <c r="I78" i="2" s="1"/>
  <c r="J7" i="7" s="1"/>
  <c r="I72" i="2"/>
  <c r="I73" i="2" s="1"/>
  <c r="I69" i="2"/>
  <c r="J24" i="2"/>
  <c r="J28" i="2" s="1"/>
  <c r="J30" i="2" s="1"/>
  <c r="J35" i="2" s="1"/>
  <c r="J48" i="2" s="1"/>
  <c r="J10" i="2"/>
  <c r="G9" i="7"/>
  <c r="G16" i="7"/>
  <c r="F10" i="7"/>
  <c r="F14" i="7" s="1"/>
  <c r="G47" i="2"/>
  <c r="G36" i="2"/>
  <c r="H8" i="7" s="1"/>
  <c r="H82" i="2"/>
  <c r="H84" i="2" s="1"/>
  <c r="H18" i="2"/>
  <c r="H20" i="2" s="1"/>
  <c r="H34" i="2" s="1"/>
  <c r="D13" i="7"/>
  <c r="D11" i="7"/>
  <c r="E10" i="7"/>
  <c r="E14" i="7" s="1"/>
  <c r="L4" i="2"/>
  <c r="K5" i="2"/>
  <c r="K6" i="2" s="1"/>
  <c r="I13" i="2"/>
  <c r="I14" i="2"/>
  <c r="F62" i="2" l="1"/>
  <c r="F55" i="2"/>
  <c r="J72" i="2"/>
  <c r="J73" i="2" s="1"/>
  <c r="J76" i="2"/>
  <c r="J69" i="2"/>
  <c r="J78" i="2"/>
  <c r="K7" i="7" s="1"/>
  <c r="G59" i="2"/>
  <c r="G61" i="2" s="1"/>
  <c r="G42" i="2"/>
  <c r="K75" i="2"/>
  <c r="K67" i="2"/>
  <c r="L71" i="2"/>
  <c r="G5" i="4"/>
  <c r="C6" i="4" s="1"/>
  <c r="K10" i="2"/>
  <c r="K24" i="2"/>
  <c r="K28" i="2" s="1"/>
  <c r="K30" i="2" s="1"/>
  <c r="K35" i="2" s="1"/>
  <c r="K48" i="2" s="1"/>
  <c r="L5" i="2"/>
  <c r="L6" i="2" s="1"/>
  <c r="G10" i="7"/>
  <c r="G14" i="7" s="1"/>
  <c r="H16" i="7"/>
  <c r="H9" i="7"/>
  <c r="H36" i="2"/>
  <c r="I8" i="7" s="1"/>
  <c r="H47" i="2"/>
  <c r="J13" i="2"/>
  <c r="J14" i="2"/>
  <c r="I82" i="2"/>
  <c r="I84" i="2" s="1"/>
  <c r="I18" i="2"/>
  <c r="I20" i="2" s="1"/>
  <c r="I34" i="2" s="1"/>
  <c r="E11" i="7"/>
  <c r="E13" i="7"/>
  <c r="F11" i="7"/>
  <c r="F13" i="7"/>
  <c r="L75" i="2" l="1"/>
  <c r="L67" i="2"/>
  <c r="G43" i="2"/>
  <c r="G50" i="2" s="1"/>
  <c r="G51" i="2" s="1"/>
  <c r="H41" i="2"/>
  <c r="K69" i="2"/>
  <c r="K76" i="2"/>
  <c r="K78" i="2" s="1"/>
  <c r="L7" i="7" s="1"/>
  <c r="K72" i="2"/>
  <c r="K73" i="2" s="1"/>
  <c r="E6" i="4"/>
  <c r="I47" i="2"/>
  <c r="I36" i="2"/>
  <c r="J8" i="7" s="1"/>
  <c r="L24" i="2"/>
  <c r="L28" i="2" s="1"/>
  <c r="L30" i="2" s="1"/>
  <c r="L35" i="2" s="1"/>
  <c r="L48" i="2" s="1"/>
  <c r="L10" i="2"/>
  <c r="I9" i="7"/>
  <c r="I16" i="7"/>
  <c r="G13" i="7"/>
  <c r="G11" i="7"/>
  <c r="J18" i="2"/>
  <c r="J20" i="2" s="1"/>
  <c r="J34" i="2" s="1"/>
  <c r="J82" i="2"/>
  <c r="J84" i="2" s="1"/>
  <c r="H10" i="7"/>
  <c r="H14" i="7" s="1"/>
  <c r="K14" i="2"/>
  <c r="K13" i="2"/>
  <c r="F6" i="4" l="1"/>
  <c r="G62" i="2"/>
  <c r="G55" i="2"/>
  <c r="L72" i="2"/>
  <c r="L73" i="2" s="1"/>
  <c r="L69" i="2"/>
  <c r="L76" i="2"/>
  <c r="H42" i="2"/>
  <c r="H59" i="2"/>
  <c r="H61" i="2" s="1"/>
  <c r="L78" i="2"/>
  <c r="M7" i="7" s="1"/>
  <c r="K82" i="2"/>
  <c r="K84" i="2" s="1"/>
  <c r="K18" i="2"/>
  <c r="K20" i="2" s="1"/>
  <c r="K34" i="2" s="1"/>
  <c r="I10" i="7"/>
  <c r="I14" i="7" s="1"/>
  <c r="J36" i="2"/>
  <c r="K8" i="7" s="1"/>
  <c r="J47" i="2"/>
  <c r="H13" i="7"/>
  <c r="H11" i="7"/>
  <c r="L14" i="2"/>
  <c r="L13" i="2"/>
  <c r="J16" i="7"/>
  <c r="J9" i="7"/>
  <c r="I41" i="2" l="1"/>
  <c r="H43" i="2"/>
  <c r="H50" i="2" s="1"/>
  <c r="H51" i="2" s="1"/>
  <c r="G6" i="4"/>
  <c r="C7" i="4" s="1"/>
  <c r="K47" i="2"/>
  <c r="K36" i="2"/>
  <c r="L8" i="7" s="1"/>
  <c r="L82" i="2"/>
  <c r="L84" i="2" s="1"/>
  <c r="L18" i="2"/>
  <c r="L20" i="2" s="1"/>
  <c r="L34" i="2" s="1"/>
  <c r="K9" i="7"/>
  <c r="K16" i="7"/>
  <c r="J10" i="7"/>
  <c r="J14" i="7" s="1"/>
  <c r="I13" i="7"/>
  <c r="I11" i="7"/>
  <c r="H55" i="2" l="1"/>
  <c r="H62" i="2"/>
  <c r="E7" i="4"/>
  <c r="I59" i="2"/>
  <c r="I61" i="2" s="1"/>
  <c r="I42" i="2"/>
  <c r="L16" i="7"/>
  <c r="L9" i="7"/>
  <c r="K10" i="7"/>
  <c r="L36" i="2"/>
  <c r="M8" i="7" s="1"/>
  <c r="L47" i="2"/>
  <c r="J13" i="7"/>
  <c r="J11" i="7"/>
  <c r="J41" i="2" l="1"/>
  <c r="I43" i="2"/>
  <c r="I50" i="2" s="1"/>
  <c r="I51" i="2" s="1"/>
  <c r="F7" i="4"/>
  <c r="L10" i="7"/>
  <c r="L14" i="7" s="1"/>
  <c r="K11" i="7"/>
  <c r="K13" i="7"/>
  <c r="M9" i="7"/>
  <c r="M16" i="7"/>
  <c r="K14" i="7"/>
  <c r="G7" i="4" l="1"/>
  <c r="C8" i="4" s="1"/>
  <c r="I55" i="2"/>
  <c r="I62" i="2"/>
  <c r="J42" i="2"/>
  <c r="J59" i="2"/>
  <c r="J61" i="2" s="1"/>
  <c r="M10" i="7"/>
  <c r="L13" i="7"/>
  <c r="L11" i="7"/>
  <c r="E8" i="4" l="1"/>
  <c r="F8" i="4" s="1"/>
  <c r="G8" i="4"/>
  <c r="C9" i="4" s="1"/>
  <c r="K41" i="2"/>
  <c r="J43" i="2"/>
  <c r="J50" i="2" s="1"/>
  <c r="J51" i="2" s="1"/>
  <c r="M13" i="7"/>
  <c r="M11" i="7"/>
  <c r="M14" i="7"/>
  <c r="K59" i="2" l="1"/>
  <c r="K61" i="2" s="1"/>
  <c r="K42" i="2"/>
  <c r="E9" i="4"/>
  <c r="F9" i="4" s="1"/>
  <c r="G9" i="4" s="1"/>
  <c r="C10" i="4" s="1"/>
  <c r="J62" i="2"/>
  <c r="J55" i="2"/>
  <c r="E12" i="5"/>
  <c r="E23" i="5" s="1"/>
  <c r="E24" i="5" s="1"/>
  <c r="E26" i="5" s="1"/>
  <c r="E30" i="5" s="1"/>
  <c r="E16" i="5"/>
  <c r="E17" i="5" s="1"/>
  <c r="E10" i="4" l="1"/>
  <c r="F10" i="4" s="1"/>
  <c r="G10" i="4" s="1"/>
  <c r="C11" i="4" s="1"/>
  <c r="K43" i="2"/>
  <c r="K50" i="2" s="1"/>
  <c r="K51" i="2" s="1"/>
  <c r="L41" i="2"/>
  <c r="E11" i="4" l="1"/>
  <c r="F11" i="4" s="1"/>
  <c r="G11" i="4" s="1"/>
  <c r="C12" i="4" s="1"/>
  <c r="L42" i="2"/>
  <c r="L43" i="2" s="1"/>
  <c r="L50" i="2" s="1"/>
  <c r="L51" i="2" s="1"/>
  <c r="L59" i="2"/>
  <c r="L61" i="2" s="1"/>
  <c r="K55" i="2"/>
  <c r="K62" i="2"/>
  <c r="E12" i="4" l="1"/>
  <c r="L62" i="2"/>
  <c r="L55" i="2"/>
  <c r="F12" i="4" l="1"/>
  <c r="E13" i="4"/>
  <c r="L4" i="4" s="1"/>
  <c r="F13" i="4" l="1"/>
  <c r="L5" i="4" s="1"/>
  <c r="G12" i="4"/>
</calcChain>
</file>

<file path=xl/sharedStrings.xml><?xml version="1.0" encoding="utf-8"?>
<sst xmlns="http://schemas.openxmlformats.org/spreadsheetml/2006/main" count="297" uniqueCount="163">
  <si>
    <t>21 Jump street</t>
  </si>
  <si>
    <t>Purchase price</t>
  </si>
  <si>
    <t>Insurance</t>
  </si>
  <si>
    <t>Rates</t>
  </si>
  <si>
    <t>Body corporate fees</t>
  </si>
  <si>
    <t>Listing fees</t>
  </si>
  <si>
    <t>Property management fee</t>
  </si>
  <si>
    <t>Mortgage details</t>
  </si>
  <si>
    <t>Mortgage value</t>
  </si>
  <si>
    <t>Interest rate</t>
  </si>
  <si>
    <t>Payments per year</t>
  </si>
  <si>
    <t>Rental income</t>
  </si>
  <si>
    <t>Estimated repairs and maintenance</t>
  </si>
  <si>
    <t>Total income</t>
  </si>
  <si>
    <t>Mortgage interest</t>
  </si>
  <si>
    <t xml:space="preserve">Estimated vacancy </t>
  </si>
  <si>
    <t>Annual</t>
  </si>
  <si>
    <t>Interest only loan</t>
  </si>
  <si>
    <t>Assumptions</t>
  </si>
  <si>
    <t>Depreciation on furnishings and appliances</t>
  </si>
  <si>
    <t>Total expenses</t>
  </si>
  <si>
    <t xml:space="preserve">Downpayment </t>
  </si>
  <si>
    <t>Closing costs</t>
  </si>
  <si>
    <t>Annual profit/loss</t>
  </si>
  <si>
    <t>Cash flow before tax</t>
  </si>
  <si>
    <t>Taxable income</t>
  </si>
  <si>
    <t>Return on equity</t>
  </si>
  <si>
    <t>Principal reduction</t>
  </si>
  <si>
    <t>Tax benefit/loss</t>
  </si>
  <si>
    <t>Initial investment</t>
  </si>
  <si>
    <t>Investment highlights</t>
  </si>
  <si>
    <t>Gross rent multiplier</t>
  </si>
  <si>
    <t>Position if sell property</t>
  </si>
  <si>
    <t>Sale price</t>
  </si>
  <si>
    <t>Year</t>
  </si>
  <si>
    <t>Cumulative cashflow</t>
  </si>
  <si>
    <t>Profit if sold at end of year</t>
  </si>
  <si>
    <t>Sales price plus cumulative cashflow</t>
  </si>
  <si>
    <t>Return on investment property if sold at end of year</t>
  </si>
  <si>
    <t>Inflation rate</t>
  </si>
  <si>
    <t>Amount remaining on mortgage</t>
  </si>
  <si>
    <t>Total payment</t>
  </si>
  <si>
    <t>Total interest paid</t>
  </si>
  <si>
    <t>Periods</t>
  </si>
  <si>
    <t>Total principal paid</t>
  </si>
  <si>
    <t>Annual interest rate</t>
  </si>
  <si>
    <t>Loan period (years)</t>
  </si>
  <si>
    <t>Start of year balance</t>
  </si>
  <si>
    <t>Interest payment</t>
  </si>
  <si>
    <t>Principal payment</t>
  </si>
  <si>
    <t>End of year balance</t>
  </si>
  <si>
    <t>Length of mortgage (years)</t>
  </si>
  <si>
    <t>10 year total</t>
  </si>
  <si>
    <t>10 year mortgage summary</t>
  </si>
  <si>
    <t>Subsequent year assumptions</t>
  </si>
  <si>
    <t>Expenses increase in line with inflation rate</t>
  </si>
  <si>
    <t>Appreciation</t>
  </si>
  <si>
    <t>Gross scheduled income</t>
  </si>
  <si>
    <t>Vacancy</t>
  </si>
  <si>
    <t>Gross operating income</t>
  </si>
  <si>
    <t>Repairs and maintenance</t>
  </si>
  <si>
    <t>Operating expenses</t>
  </si>
  <si>
    <t>Net operating income</t>
  </si>
  <si>
    <t>Debt service</t>
  </si>
  <si>
    <t>Property information</t>
  </si>
  <si>
    <t>Income</t>
  </si>
  <si>
    <t>Increase in property value per annum</t>
  </si>
  <si>
    <t>Increase in rental income per annum</t>
  </si>
  <si>
    <t>Sales commision if sell rental</t>
  </si>
  <si>
    <t>Estimated vacancy per year</t>
  </si>
  <si>
    <t>Annual payment</t>
  </si>
  <si>
    <t>Loan amount</t>
  </si>
  <si>
    <t>Monthly payment</t>
  </si>
  <si>
    <t>Down payment</t>
  </si>
  <si>
    <t>Buying costs</t>
  </si>
  <si>
    <t>Capital improvements</t>
  </si>
  <si>
    <t>Other expenses</t>
  </si>
  <si>
    <t>Financing</t>
  </si>
  <si>
    <t>Tax benefit (loss)</t>
  </si>
  <si>
    <t>Taxable revenues</t>
  </si>
  <si>
    <t>Deductable expenses</t>
  </si>
  <si>
    <t>Cash flow after tax</t>
  </si>
  <si>
    <t>Total Profit this year</t>
  </si>
  <si>
    <t>FIRST YEAR INVESTMENT SUMMARY</t>
  </si>
  <si>
    <t>Capitilisation rate</t>
  </si>
  <si>
    <t>Flaw: doesn't account for selling expenses</t>
  </si>
  <si>
    <t>First year cash on cash return</t>
  </si>
  <si>
    <t>Tax bracket</t>
  </si>
  <si>
    <t>Increase in rental income</t>
  </si>
  <si>
    <t>Less vacancy losses</t>
  </si>
  <si>
    <t>Less increase in expenses</t>
  </si>
  <si>
    <t>Total operating expenses</t>
  </si>
  <si>
    <t>Operating expenses as a percentage of income</t>
  </si>
  <si>
    <t>Net operating Income</t>
  </si>
  <si>
    <t>Cash flow before taxes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</si>
  <si>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</si>
  <si>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</si>
  <si>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</si>
  <si>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</si>
  <si>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</si>
  <si>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</si>
  <si>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</si>
  <si>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</si>
  <si>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</si>
  <si>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</si>
  <si>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 xml:space="preserve"> </t>
  </si>
  <si>
    <t>Deducted expenses</t>
  </si>
  <si>
    <t>Annual depreciation</t>
  </si>
  <si>
    <t>x investor's tax bracket</t>
  </si>
  <si>
    <t>Tax benefit</t>
  </si>
  <si>
    <t>Cash flow after taxes</t>
  </si>
  <si>
    <t>Increase</t>
  </si>
  <si>
    <t>Start of year value</t>
  </si>
  <si>
    <t>End of year value</t>
  </si>
  <si>
    <t>Total annual appreciation</t>
  </si>
  <si>
    <t>Return on initial equity</t>
  </si>
  <si>
    <t>Downpayment</t>
  </si>
  <si>
    <t>Total initial equity</t>
  </si>
  <si>
    <t>% return on initial equity</t>
  </si>
  <si>
    <t>Start of year property value</t>
  </si>
  <si>
    <t>Total equity</t>
  </si>
  <si>
    <t>% return on total equity</t>
  </si>
  <si>
    <t>RETURN ON TOTAL EQUITY (Assumes total equity = start of year value - start of year loan balance)</t>
  </si>
  <si>
    <t>RETURN ON INITIAL EQUITY</t>
  </si>
  <si>
    <t>PROPERTY APPRECIATION</t>
  </si>
  <si>
    <t>CASH FLOW AFTER TAXES</t>
  </si>
  <si>
    <t>TAX BENEFIT</t>
  </si>
  <si>
    <t>CASH FLOW BEFORE TAXES</t>
  </si>
  <si>
    <t>NET OPERATING INCOME</t>
  </si>
  <si>
    <t>GROSS OPERATING INCOME</t>
  </si>
  <si>
    <t>ESTIMATED SALE PROCEEDS (After expenses)</t>
  </si>
  <si>
    <t>Accumulated depreciation</t>
  </si>
  <si>
    <t>Adjusted cost basis</t>
  </si>
  <si>
    <t>Non-adjusted cost</t>
  </si>
  <si>
    <t>True capital gain or loss if sold</t>
  </si>
  <si>
    <t>Sale costs</t>
  </si>
  <si>
    <t>Estimated net sale proceeds</t>
  </si>
  <si>
    <t>Selling costs</t>
  </si>
  <si>
    <t>TRUE CAPITAL GAIN/LOSS</t>
  </si>
  <si>
    <t>Debt coverage ratio</t>
  </si>
  <si>
    <t>DEBT COVERAGE RATIO</t>
  </si>
  <si>
    <t>Estimated net proceeds on sale</t>
  </si>
  <si>
    <t>Annual profit/cash flow</t>
  </si>
  <si>
    <t>SALE PROCEEDS BEFORE PURCHASE COSTS</t>
  </si>
  <si>
    <t>Reliance on property appreciation/debt reduction</t>
  </si>
  <si>
    <t>Reliance on operating cash flows</t>
  </si>
  <si>
    <t>Interest only payments</t>
  </si>
  <si>
    <t>Select cell F8 if not interest only</t>
  </si>
  <si>
    <t>Mortgage principal</t>
  </si>
  <si>
    <t>F8 - F9 if not interest only</t>
  </si>
  <si>
    <t>Annual interest (Change to mortgage schedule row E if not interest only)</t>
  </si>
  <si>
    <t>Debt reduction (Change to  row F of mortgage schedule if not interest only)</t>
  </si>
  <si>
    <t>Start of year loan value (change to row C of mortgage schedule if not interest only)</t>
  </si>
  <si>
    <t>Ending loan balances (change to row G of mortgage schedule if not interest only)</t>
  </si>
  <si>
    <t>Annual mortgage repayment (change ref to F9 first year inputs if not interest only)</t>
  </si>
  <si>
    <t>Change if you forecast your expenses to increase or decrease more quickly</t>
  </si>
  <si>
    <t>Cell F3 of mortgage schedule if not interest only</t>
  </si>
  <si>
    <t>Ratio of property price to gross rental income. Flaw of formula: doesn't factor in financing and lending rates, expenses, or vacancy rates</t>
  </si>
  <si>
    <t>Operating income relative to property price. Flaw: doesn't consider size of downpayment or debt servicing</t>
  </si>
  <si>
    <t xml:space="preserve">Cashflow relative to initial investment. If negative, house price MAY be too high. But if rent increases and house appreciation is likely in subsequent years then do not dismiss this. </t>
  </si>
  <si>
    <t>Electricity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</si>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</sst>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;[Red]\-&quot;$&quot;#,##0.00"/>
    <numFmt numFmtId="164" formatCode="&quot;$&quot;#,##0"/>
    <numFmt numFmtId="165" formatCode="&quot;$&quot;#,##0;[Red]\(&quot;$&quot;#,##0\)"/>
    <numFmt numFmtId="166" formatCode="&quot;- vacancy&quot;"/>
    <numFmt numFmtId="167" formatCode="[Red]0.00%"/>
    <numFmt numFmtId="168" formatCode="&quot;$&quot;#,##0;[Red]&quot;$&quot;#,##0"/>
    <numFmt numFmtId="169" formatCode="0.0%"/>
    <numFmt numFmtId="170" formatCode="0.00%;[Red]\(0.00%\)"/>
    <numFmt numFmtId="171" formatCode="0%\ &quot;tax bracket&quot;"/>
    <numFmt numFmtId="172" formatCode="General\ &quot;month vacancy&quot;"/>
    <numFmt numFmtId="173" formatCode="General\ &quot;month vacancy (update the number for your situation)&quot;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0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0" applyFont="1"/>
    <xf numFmtId="10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6" xfId="0" applyBorder="1"/>
    <xf numFmtId="0" fontId="1" fillId="0" borderId="3" xfId="0" applyFont="1" applyBorder="1"/>
    <xf numFmtId="0" fontId="0" fillId="0" borderId="4" xfId="0" applyBorder="1"/>
    <xf numFmtId="0" fontId="0" fillId="0" borderId="5" xfId="0" applyBorder="1"/>
    <xf numFmtId="0" fontId="6" fillId="0" borderId="0" xfId="0" applyFont="1"/>
    <xf numFmtId="0" fontId="7" fillId="0" borderId="0" xfId="0" applyFont="1"/>
    <xf numFmtId="9" fontId="7" fillId="0" borderId="0" xfId="0" applyNumberFormat="1" applyFont="1"/>
    <xf numFmtId="10" fontId="7" fillId="0" borderId="0" xfId="0" applyNumberFormat="1" applyFont="1" applyAlignment="1">
      <alignment horizontal="center"/>
    </xf>
    <xf numFmtId="0" fontId="0" fillId="0" borderId="0" xfId="0" applyProtection="1">
      <protection locked="0"/>
    </xf>
    <xf numFmtId="164" fontId="0" fillId="0" borderId="0" xfId="0" applyNumberFormat="1" applyAlignment="1" applyProtection="1">
      <alignment horizontal="center"/>
      <protection locked="0"/>
    </xf>
    <xf numFmtId="0" fontId="0" fillId="0" borderId="0" xfId="0" applyProtection="1"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166" fontId="0" fillId="0" borderId="0" xfId="0" applyNumberFormat="1" applyProtection="1">
      <protection hidden="1"/>
    </xf>
    <xf numFmtId="164" fontId="1" fillId="0" borderId="0" xfId="0" applyNumberFormat="1" applyFont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10" fontId="0" fillId="0" borderId="0" xfId="0" applyNumberFormat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10" fontId="2" fillId="2" borderId="0" xfId="0" applyNumberFormat="1" applyFont="1" applyFill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hidden="1"/>
    </xf>
    <xf numFmtId="10" fontId="0" fillId="0" borderId="11" xfId="0" applyNumberForma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4" fontId="0" fillId="0" borderId="11" xfId="0" applyNumberFormat="1" applyBorder="1" applyAlignment="1" applyProtection="1">
      <alignment horizontal="center"/>
      <protection hidden="1"/>
    </xf>
    <xf numFmtId="164" fontId="0" fillId="4" borderId="11" xfId="0" applyNumberFormat="1" applyFill="1" applyBorder="1" applyAlignment="1" applyProtection="1">
      <alignment horizontal="center"/>
      <protection hidden="1"/>
    </xf>
    <xf numFmtId="0" fontId="1" fillId="0" borderId="11" xfId="0" applyFont="1" applyBorder="1" applyAlignment="1" applyProtection="1">
      <alignment horizontal="center"/>
      <protection hidden="1"/>
    </xf>
    <xf numFmtId="169" fontId="0" fillId="0" borderId="11" xfId="0" applyNumberFormat="1" applyBorder="1" applyAlignment="1" applyProtection="1">
      <alignment horizontal="center"/>
      <protection hidden="1"/>
    </xf>
    <xf numFmtId="165" fontId="0" fillId="4" borderId="11" xfId="0" applyNumberFormat="1" applyFill="1" applyBorder="1" applyAlignment="1" applyProtection="1">
      <alignment horizontal="center"/>
      <protection hidden="1"/>
    </xf>
    <xf numFmtId="165" fontId="0" fillId="0" borderId="11" xfId="0" applyNumberFormat="1" applyBorder="1" applyAlignment="1" applyProtection="1">
      <alignment horizontal="center"/>
      <protection hidden="1"/>
    </xf>
    <xf numFmtId="9" fontId="0" fillId="0" borderId="0" xfId="0" applyNumberFormat="1" applyAlignment="1" applyProtection="1">
      <alignment horizontal="center"/>
      <protection hidden="1"/>
    </xf>
    <xf numFmtId="9" fontId="0" fillId="0" borderId="11" xfId="0" applyNumberFormat="1" applyBorder="1" applyAlignment="1" applyProtection="1">
      <alignment horizontal="center"/>
      <protection hidden="1"/>
    </xf>
    <xf numFmtId="10" fontId="0" fillId="4" borderId="11" xfId="0" applyNumberFormat="1" applyFill="1" applyBorder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64" fontId="0" fillId="4" borderId="16" xfId="0" applyNumberFormat="1" applyFill="1" applyBorder="1" applyAlignment="1" applyProtection="1">
      <alignment horizontal="center"/>
      <protection hidden="1"/>
    </xf>
    <xf numFmtId="2" fontId="0" fillId="4" borderId="11" xfId="0" applyNumberFormat="1" applyFill="1" applyBorder="1" applyAlignment="1" applyProtection="1">
      <alignment horizontal="center"/>
      <protection hidden="1"/>
    </xf>
    <xf numFmtId="164" fontId="7" fillId="4" borderId="1" xfId="0" applyNumberFormat="1" applyFont="1" applyFill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164" fontId="7" fillId="4" borderId="2" xfId="0" applyNumberFormat="1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165" fontId="7" fillId="0" borderId="0" xfId="0" applyNumberFormat="1" applyFont="1" applyAlignment="1" applyProtection="1">
      <alignment horizontal="center"/>
      <protection hidden="1"/>
    </xf>
    <xf numFmtId="10" fontId="7" fillId="0" borderId="0" xfId="0" applyNumberFormat="1" applyFont="1" applyAlignment="1" applyProtection="1">
      <alignment horizontal="center"/>
      <protection hidden="1"/>
    </xf>
    <xf numFmtId="170" fontId="7" fillId="0" borderId="0" xfId="0" applyNumberFormat="1" applyFont="1" applyAlignment="1" applyProtection="1">
      <alignment horizontal="center"/>
      <protection hidden="1"/>
    </xf>
    <xf numFmtId="9" fontId="7" fillId="0" borderId="0" xfId="0" applyNumberFormat="1" applyFont="1" applyAlignment="1" applyProtection="1">
      <alignment horizontal="center"/>
      <protection hidden="1"/>
    </xf>
    <xf numFmtId="0" fontId="0" fillId="0" borderId="7" xfId="0" applyBorder="1" applyProtection="1">
      <protection locked="0"/>
    </xf>
    <xf numFmtId="0" fontId="0" fillId="0" borderId="6" xfId="0" applyBorder="1" applyProtection="1">
      <protection hidden="1"/>
    </xf>
    <xf numFmtId="164" fontId="0" fillId="0" borderId="7" xfId="0" applyNumberFormat="1" applyBorder="1" applyAlignment="1" applyProtection="1">
      <alignment horizontal="center"/>
      <protection hidden="1"/>
    </xf>
    <xf numFmtId="0" fontId="0" fillId="0" borderId="7" xfId="0" applyBorder="1" applyProtection="1">
      <protection hidden="1"/>
    </xf>
    <xf numFmtId="0" fontId="0" fillId="0" borderId="8" xfId="0" applyBorder="1" applyProtection="1">
      <protection hidden="1"/>
    </xf>
    <xf numFmtId="164" fontId="0" fillId="0" borderId="9" xfId="0" applyNumberFormat="1" applyBorder="1" applyAlignment="1" applyProtection="1">
      <alignment horizontal="center"/>
      <protection hidden="1"/>
    </xf>
    <xf numFmtId="0" fontId="0" fillId="0" borderId="9" xfId="0" applyBorder="1" applyProtection="1">
      <protection hidden="1"/>
    </xf>
    <xf numFmtId="0" fontId="0" fillId="0" borderId="10" xfId="0" applyBorder="1" applyProtection="1">
      <protection hidden="1"/>
    </xf>
    <xf numFmtId="164" fontId="1" fillId="0" borderId="7" xfId="0" applyNumberFormat="1" applyFont="1" applyBorder="1" applyAlignment="1" applyProtection="1">
      <alignment horizontal="center"/>
      <protection hidden="1"/>
    </xf>
    <xf numFmtId="0" fontId="1" fillId="0" borderId="8" xfId="0" applyFont="1" applyBorder="1" applyProtection="1">
      <protection hidden="1"/>
    </xf>
    <xf numFmtId="164" fontId="1" fillId="0" borderId="9" xfId="0" applyNumberFormat="1" applyFont="1" applyBorder="1" applyAlignment="1" applyProtection="1">
      <alignment horizontal="center"/>
      <protection hidden="1"/>
    </xf>
    <xf numFmtId="164" fontId="2" fillId="2" borderId="0" xfId="0" applyNumberFormat="1" applyFont="1" applyFill="1" applyAlignment="1" applyProtection="1">
      <alignment horizontal="center"/>
      <protection locked="0"/>
    </xf>
    <xf numFmtId="9" fontId="2" fillId="2" borderId="0" xfId="0" applyNumberFormat="1" applyFont="1" applyFill="1" applyAlignment="1" applyProtection="1">
      <alignment horizontal="center"/>
      <protection locked="0"/>
    </xf>
    <xf numFmtId="164" fontId="2" fillId="2" borderId="7" xfId="0" applyNumberFormat="1" applyFont="1" applyFill="1" applyBorder="1" applyAlignment="1" applyProtection="1">
      <alignment horizontal="center"/>
      <protection locked="0"/>
    </xf>
    <xf numFmtId="10" fontId="2" fillId="2" borderId="7" xfId="0" applyNumberFormat="1" applyFont="1" applyFill="1" applyBorder="1" applyAlignment="1" applyProtection="1">
      <alignment horizontal="center"/>
      <protection locked="0"/>
    </xf>
    <xf numFmtId="0" fontId="2" fillId="2" borderId="7" xfId="0" applyFont="1" applyFill="1" applyBorder="1" applyAlignment="1" applyProtection="1">
      <alignment horizontal="center"/>
      <protection locked="0"/>
    </xf>
    <xf numFmtId="9" fontId="2" fillId="2" borderId="10" xfId="0" applyNumberFormat="1" applyFont="1" applyFill="1" applyBorder="1" applyAlignment="1" applyProtection="1">
      <alignment horizontal="center"/>
      <protection locked="0"/>
    </xf>
    <xf numFmtId="168" fontId="0" fillId="0" borderId="0" xfId="0" applyNumberFormat="1" applyAlignment="1" applyProtection="1">
      <alignment horizontal="center"/>
      <protection hidden="1"/>
    </xf>
    <xf numFmtId="165" fontId="1" fillId="0" borderId="0" xfId="0" applyNumberFormat="1" applyFont="1" applyAlignment="1" applyProtection="1">
      <alignment horizontal="center"/>
      <protection hidden="1"/>
    </xf>
    <xf numFmtId="171" fontId="0" fillId="0" borderId="0" xfId="0" applyNumberFormat="1" applyAlignment="1" applyProtection="1">
      <alignment horizontal="center"/>
      <protection hidden="1"/>
    </xf>
    <xf numFmtId="164" fontId="5" fillId="0" borderId="0" xfId="0" applyNumberFormat="1" applyFont="1" applyAlignment="1" applyProtection="1">
      <alignment horizontal="center"/>
      <protection hidden="1"/>
    </xf>
    <xf numFmtId="10" fontId="5" fillId="0" borderId="0" xfId="0" applyNumberFormat="1" applyFont="1" applyAlignment="1" applyProtection="1">
      <alignment horizontal="center"/>
      <protection hidden="1"/>
    </xf>
    <xf numFmtId="172" fontId="0" fillId="0" borderId="0" xfId="0" applyNumberFormat="1" applyAlignment="1" applyProtection="1">
      <alignment horizontal="center"/>
      <protection hidden="1"/>
    </xf>
    <xf numFmtId="167" fontId="5" fillId="0" borderId="0" xfId="0" applyNumberFormat="1" applyFont="1" applyAlignment="1" applyProtection="1">
      <alignment horizontal="center"/>
      <protection hidden="1"/>
    </xf>
    <xf numFmtId="0" fontId="2" fillId="2" borderId="0" xfId="0" applyFont="1" applyFill="1" applyProtection="1">
      <protection locked="0"/>
    </xf>
    <xf numFmtId="0" fontId="2" fillId="2" borderId="6" xfId="0" applyFont="1" applyFill="1" applyBorder="1" applyProtection="1">
      <protection locked="0"/>
    </xf>
    <xf numFmtId="0" fontId="2" fillId="2" borderId="8" xfId="0" applyFont="1" applyFill="1" applyBorder="1" applyProtection="1">
      <protection locked="0"/>
    </xf>
    <xf numFmtId="173" fontId="2" fillId="2" borderId="0" xfId="0" applyNumberFormat="1" applyFont="1" applyFill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hidden="1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 applyProtection="1">
      <alignment horizontal="center"/>
      <protection hidden="1"/>
    </xf>
    <xf numFmtId="0" fontId="3" fillId="5" borderId="0" xfId="0" applyFont="1" applyFill="1" applyAlignment="1" applyProtection="1">
      <alignment horizontal="center"/>
      <protection locked="0"/>
    </xf>
    <xf numFmtId="0" fontId="3" fillId="5" borderId="0" xfId="0" applyFont="1" applyFill="1" applyAlignment="1" applyProtection="1">
      <alignment horizontal="center"/>
      <protection hidden="1"/>
    </xf>
    <xf numFmtId="10" fontId="3" fillId="5" borderId="0" xfId="0" applyNumberFormat="1" applyFont="1" applyFill="1" applyAlignment="1" applyProtection="1">
      <alignment horizontal="center"/>
      <protection hidden="1"/>
    </xf>
    <xf numFmtId="0" fontId="3" fillId="5" borderId="15" xfId="0" applyFont="1" applyFill="1" applyBorder="1" applyAlignment="1" applyProtection="1">
      <alignment horizontal="center"/>
      <protection hidden="1"/>
    </xf>
    <xf numFmtId="0" fontId="3" fillId="0" borderId="12" xfId="0" applyFont="1" applyBorder="1" applyAlignment="1" applyProtection="1">
      <alignment horizontal="center"/>
      <protection hidden="1"/>
    </xf>
    <xf numFmtId="0" fontId="3" fillId="0" borderId="13" xfId="0" applyFont="1" applyBorder="1" applyAlignment="1" applyProtection="1">
      <alignment horizontal="center"/>
      <protection hidden="1"/>
    </xf>
    <xf numFmtId="0" fontId="3" fillId="0" borderId="14" xfId="0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8" fontId="1" fillId="0" borderId="0" xfId="0" applyNumberFormat="1" applyFont="1" applyAlignment="1" applyProtection="1">
      <alignment horizontal="center"/>
      <protection hidden="1"/>
    </xf>
  </cellXfs>
  <cellStyles count="1">
    <cellStyle name="Normal" xfId="0" builtinId="0"/>
  </cellStyles>
  <dxfs count="3"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69850</xdr:colOff>
      <xdr:row>15</xdr:row>
      <xdr:rowOff>15788</xdr:rowOff>
    </xdr:from>
    <xdr:to>
      <xdr:col>4</xdr:col>
      <xdr:colOff>2381250</xdr:colOff>
      <xdr:row>18</xdr:row>
      <xdr:rowOff>77039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05EF21-512C-4D77-A0BE-ABD9227BC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0" y="2790738"/>
          <a:ext cx="2311400" cy="6137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H29"/>
  <sheetViews>
    <sheetView tabSelected="1" workbookViewId="0">
      <selection activeCell="B9" sqref="B9"/>
    </sheetView>
  </sheetViews>
  <sheetFormatPr defaultRowHeight="14.5" x14ac:dyDescent="0.35"/>
  <cols>
    <col min="1" max="1" width="40.54296875" bestFit="1" customWidth="1"/>
    <col min="2" max="2" width="10.7265625" customWidth="1"/>
    <col min="3" max="3" width="68.54296875" bestFit="1" customWidth="1"/>
    <col min="5" max="5" width="35.1796875" bestFit="1" customWidth="1"/>
    <col min="6" max="6" width="10" bestFit="1" customWidth="1"/>
    <col min="7" max="7" width="27.1796875" customWidth="1"/>
    <col min="8" max="8" width="13.54296875" customWidth="1"/>
  </cols>
  <sheetData>
    <row r="1" spans="1:7" ht="15" thickBot="1" x14ac:dyDescent="0.4">
      <c r="A1" s="1" t="s">
        <v>0</v>
      </c>
      <c r="G1" s="1"/>
    </row>
    <row r="2" spans="1:7" x14ac:dyDescent="0.35">
      <c r="B2" s="3" t="s">
        <v>16</v>
      </c>
      <c r="C2" s="5" t="s">
        <v>18</v>
      </c>
      <c r="E2" s="14" t="s">
        <v>7</v>
      </c>
      <c r="F2" s="16"/>
    </row>
    <row r="3" spans="1:7" x14ac:dyDescent="0.35">
      <c r="A3" s="83" t="s">
        <v>3</v>
      </c>
      <c r="B3" s="70">
        <v>3600</v>
      </c>
      <c r="C3" s="2"/>
      <c r="E3" s="84" t="s">
        <v>1</v>
      </c>
      <c r="F3" s="72">
        <v>1500000</v>
      </c>
    </row>
    <row r="4" spans="1:7" x14ac:dyDescent="0.35">
      <c r="A4" s="83" t="s">
        <v>2</v>
      </c>
      <c r="B4" s="70">
        <v>2100</v>
      </c>
      <c r="C4" s="2"/>
      <c r="E4" s="84" t="s">
        <v>8</v>
      </c>
      <c r="F4" s="72">
        <v>467000</v>
      </c>
    </row>
    <row r="5" spans="1:7" x14ac:dyDescent="0.35">
      <c r="A5" s="83" t="s">
        <v>160</v>
      </c>
      <c r="B5" s="70">
        <v>0</v>
      </c>
      <c r="C5" s="2"/>
      <c r="E5" s="84" t="s">
        <v>9</v>
      </c>
      <c r="F5" s="73">
        <v>0.05</v>
      </c>
    </row>
    <row r="6" spans="1:7" x14ac:dyDescent="0.35">
      <c r="A6" s="83" t="s">
        <v>5</v>
      </c>
      <c r="B6" s="70">
        <v>0</v>
      </c>
      <c r="C6" s="2"/>
      <c r="E6" s="84" t="s">
        <v>46</v>
      </c>
      <c r="F6" s="74">
        <v>19</v>
      </c>
    </row>
    <row r="7" spans="1:7" x14ac:dyDescent="0.35">
      <c r="A7" s="83" t="s">
        <v>6</v>
      </c>
      <c r="B7" s="70">
        <v>3600</v>
      </c>
      <c r="C7" s="2"/>
      <c r="E7" s="13"/>
      <c r="F7" s="59"/>
    </row>
    <row r="8" spans="1:7" x14ac:dyDescent="0.35">
      <c r="A8" s="83" t="s">
        <v>12</v>
      </c>
      <c r="B8" s="70">
        <v>3500</v>
      </c>
      <c r="C8" s="2"/>
      <c r="E8" s="13" t="s">
        <v>10</v>
      </c>
      <c r="F8" s="61">
        <f>-PMT(F5,F6,F4,,0)</f>
        <v>38641.919848280166</v>
      </c>
    </row>
    <row r="9" spans="1:7" x14ac:dyDescent="0.35">
      <c r="A9" s="83" t="s">
        <v>14</v>
      </c>
      <c r="B9" s="70">
        <f>'Mortgage schedule'!E3</f>
        <v>23350</v>
      </c>
      <c r="C9" s="2" t="s">
        <v>17</v>
      </c>
      <c r="E9" s="13" t="s">
        <v>146</v>
      </c>
      <c r="F9" s="61">
        <f>F4*F5</f>
        <v>23350</v>
      </c>
    </row>
    <row r="10" spans="1:7" x14ac:dyDescent="0.35">
      <c r="A10" s="83" t="s">
        <v>148</v>
      </c>
      <c r="B10" s="70">
        <v>0</v>
      </c>
      <c r="C10" s="2" t="s">
        <v>149</v>
      </c>
      <c r="E10" s="13" t="s">
        <v>21</v>
      </c>
      <c r="F10" s="61">
        <f>F3-F4</f>
        <v>1033000</v>
      </c>
    </row>
    <row r="11" spans="1:7" x14ac:dyDescent="0.35">
      <c r="A11" s="83" t="s">
        <v>19</v>
      </c>
      <c r="B11" s="70">
        <v>0</v>
      </c>
      <c r="C11" s="2"/>
      <c r="E11" s="84" t="s">
        <v>22</v>
      </c>
      <c r="F11" s="72">
        <v>1000</v>
      </c>
    </row>
    <row r="12" spans="1:7" x14ac:dyDescent="0.35">
      <c r="A12" s="7"/>
      <c r="B12" s="22"/>
      <c r="E12" s="13"/>
      <c r="F12" s="59"/>
    </row>
    <row r="13" spans="1:7" ht="15" thickBot="1" x14ac:dyDescent="0.4">
      <c r="A13" s="1" t="s">
        <v>20</v>
      </c>
      <c r="B13" s="27">
        <f>SUM(B3:B12)</f>
        <v>36150</v>
      </c>
      <c r="C13" s="2"/>
      <c r="E13" s="85" t="s">
        <v>39</v>
      </c>
      <c r="F13" s="75">
        <v>0.02</v>
      </c>
    </row>
    <row r="14" spans="1:7" x14ac:dyDescent="0.35">
      <c r="B14" s="21"/>
    </row>
    <row r="15" spans="1:7" x14ac:dyDescent="0.35">
      <c r="A15" s="83" t="s">
        <v>11</v>
      </c>
      <c r="B15" s="70">
        <v>36000</v>
      </c>
      <c r="E15" s="23"/>
    </row>
    <row r="16" spans="1:7" x14ac:dyDescent="0.35">
      <c r="A16" s="7" t="s">
        <v>15</v>
      </c>
      <c r="B16" s="79">
        <f>(B15/12)*C16</f>
        <v>3000</v>
      </c>
      <c r="C16" s="86">
        <v>1</v>
      </c>
      <c r="E16" s="23"/>
    </row>
    <row r="17" spans="1:8" x14ac:dyDescent="0.35">
      <c r="A17" s="1" t="s">
        <v>13</v>
      </c>
      <c r="B17" s="24">
        <f>B15-B16</f>
        <v>33000</v>
      </c>
      <c r="E17" s="23"/>
      <c r="G17" s="1"/>
    </row>
    <row r="18" spans="1:8" x14ac:dyDescent="0.35">
      <c r="B18" s="23"/>
      <c r="E18" s="23"/>
      <c r="H18" s="6"/>
    </row>
    <row r="19" spans="1:8" x14ac:dyDescent="0.35">
      <c r="A19" t="s">
        <v>25</v>
      </c>
      <c r="B19" s="28">
        <f>B17-B13</f>
        <v>-3150</v>
      </c>
      <c r="E19" s="23"/>
      <c r="H19" s="6"/>
    </row>
    <row r="20" spans="1:8" x14ac:dyDescent="0.35">
      <c r="A20" t="s">
        <v>28</v>
      </c>
      <c r="B20" s="76">
        <f>IF(B19&lt;0,0,B19*B29)*-1</f>
        <v>0</v>
      </c>
      <c r="C20" s="78">
        <f>B29</f>
        <v>0.33</v>
      </c>
      <c r="E20" s="99" t="s">
        <v>161</v>
      </c>
      <c r="H20" s="6"/>
    </row>
    <row r="21" spans="1:8" x14ac:dyDescent="0.35">
      <c r="A21" t="s">
        <v>23</v>
      </c>
      <c r="B21" s="77">
        <f>IF(B19&gt;0,B19+B20,B19)</f>
        <v>-3150</v>
      </c>
      <c r="E21" s="29" t="s">
        <v>162</v>
      </c>
      <c r="H21" s="6"/>
    </row>
    <row r="22" spans="1:8" x14ac:dyDescent="0.35">
      <c r="B22" s="21"/>
      <c r="C22" s="1"/>
      <c r="H22" s="6"/>
    </row>
    <row r="23" spans="1:8" x14ac:dyDescent="0.35">
      <c r="A23" s="4" t="s">
        <v>54</v>
      </c>
      <c r="B23" s="21"/>
      <c r="H23" s="8"/>
    </row>
    <row r="24" spans="1:8" x14ac:dyDescent="0.35">
      <c r="A24" s="83" t="s">
        <v>66</v>
      </c>
      <c r="B24" s="35">
        <v>0.02</v>
      </c>
    </row>
    <row r="25" spans="1:8" x14ac:dyDescent="0.35">
      <c r="A25" s="83" t="s">
        <v>67</v>
      </c>
      <c r="B25" s="35">
        <v>0.02</v>
      </c>
      <c r="D25" s="9"/>
    </row>
    <row r="26" spans="1:8" x14ac:dyDescent="0.35">
      <c r="A26" s="83" t="s">
        <v>68</v>
      </c>
      <c r="B26" s="35">
        <v>0.05</v>
      </c>
      <c r="D26" s="8"/>
    </row>
    <row r="27" spans="1:8" x14ac:dyDescent="0.35">
      <c r="A27" s="7" t="s">
        <v>69</v>
      </c>
      <c r="B27" s="80">
        <f>B16/B15</f>
        <v>8.3333333333333329E-2</v>
      </c>
      <c r="C27" s="81">
        <f>C16</f>
        <v>1</v>
      </c>
      <c r="D27" s="8"/>
    </row>
    <row r="28" spans="1:8" x14ac:dyDescent="0.35">
      <c r="A28" s="83" t="s">
        <v>55</v>
      </c>
      <c r="B28" s="35">
        <f>F13</f>
        <v>0.02</v>
      </c>
      <c r="C28" t="s">
        <v>155</v>
      </c>
    </row>
    <row r="29" spans="1:8" x14ac:dyDescent="0.35">
      <c r="A29" s="83" t="s">
        <v>87</v>
      </c>
      <c r="B29" s="71">
        <v>0.33</v>
      </c>
    </row>
  </sheetData>
  <sheetProtection algorithmName="SHA-512" hashValue="8cPXJLzVUIsHl0MKjpXxee0Pb/7BPKCfZeyMi53dPOwhZPhPEXtsRRRRxLKJLW2nAIlGJGuyWdIHxa7hs9n9xA==" saltValue="rtPg9Y+RgGKgDzo4G8sgI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F77"/>
  <sheetViews>
    <sheetView zoomScale="115" zoomScaleNormal="115" workbookViewId="0">
      <selection activeCell="E18" sqref="E18"/>
    </sheetView>
  </sheetViews>
  <sheetFormatPr defaultRowHeight="14.5" x14ac:dyDescent="0.35"/>
  <cols>
    <col min="1" max="1" width="24.26953125" customWidth="1"/>
    <col min="2" max="2" width="12.7265625" customWidth="1"/>
    <col min="3" max="3" width="30" bestFit="1" customWidth="1"/>
    <col min="4" max="4" width="27" bestFit="1" customWidth="1"/>
    <col min="5" max="5" width="11" bestFit="1" customWidth="1"/>
  </cols>
  <sheetData>
    <row r="1" spans="1:5" x14ac:dyDescent="0.35">
      <c r="A1" s="88" t="s">
        <v>83</v>
      </c>
      <c r="B1" s="88"/>
      <c r="C1" s="88"/>
      <c r="D1" s="88"/>
      <c r="E1" s="88"/>
    </row>
    <row r="2" spans="1:5" x14ac:dyDescent="0.35">
      <c r="A2" s="89" t="s">
        <v>64</v>
      </c>
      <c r="B2" s="89"/>
      <c r="D2" s="89" t="s">
        <v>29</v>
      </c>
      <c r="E2" s="89"/>
    </row>
    <row r="3" spans="1:5" x14ac:dyDescent="0.35">
      <c r="A3" s="23" t="s">
        <v>1</v>
      </c>
      <c r="B3" s="24">
        <f>'First year inputs'!F3</f>
        <v>1500000</v>
      </c>
      <c r="C3" s="23"/>
      <c r="D3" s="23" t="s">
        <v>73</v>
      </c>
      <c r="E3" s="24">
        <f>'First year inputs'!F10</f>
        <v>1033000</v>
      </c>
    </row>
    <row r="4" spans="1:5" x14ac:dyDescent="0.35">
      <c r="A4" s="23" t="s">
        <v>56</v>
      </c>
      <c r="B4" s="24">
        <f>'First year inputs'!F3*'First year inputs'!B24</f>
        <v>30000</v>
      </c>
      <c r="C4" s="23"/>
      <c r="D4" s="23" t="s">
        <v>74</v>
      </c>
      <c r="E4" s="24">
        <f>'First year inputs'!F11</f>
        <v>1000</v>
      </c>
    </row>
    <row r="5" spans="1:5" x14ac:dyDescent="0.35">
      <c r="A5" s="23"/>
      <c r="B5" s="24"/>
      <c r="C5" s="23"/>
      <c r="D5" s="23" t="s">
        <v>75</v>
      </c>
      <c r="E5" s="24">
        <v>0</v>
      </c>
    </row>
    <row r="6" spans="1:5" x14ac:dyDescent="0.35">
      <c r="A6" s="90" t="s">
        <v>65</v>
      </c>
      <c r="B6" s="90"/>
      <c r="C6" s="23"/>
      <c r="D6" s="25" t="s">
        <v>29</v>
      </c>
      <c r="E6" s="24">
        <f>E3+E4+E5</f>
        <v>1034000</v>
      </c>
    </row>
    <row r="7" spans="1:5" x14ac:dyDescent="0.35">
      <c r="A7" s="23" t="s">
        <v>57</v>
      </c>
      <c r="B7" s="24">
        <f>'First year inputs'!B15</f>
        <v>36000</v>
      </c>
      <c r="C7" s="23"/>
      <c r="D7" s="23"/>
      <c r="E7" s="23"/>
    </row>
    <row r="8" spans="1:5" x14ac:dyDescent="0.35">
      <c r="A8" s="26" t="s">
        <v>58</v>
      </c>
      <c r="B8" s="24">
        <f>'First year inputs'!B16</f>
        <v>3000</v>
      </c>
      <c r="C8" s="23"/>
      <c r="D8" s="90" t="s">
        <v>78</v>
      </c>
      <c r="E8" s="90"/>
    </row>
    <row r="9" spans="1:5" x14ac:dyDescent="0.35">
      <c r="A9" s="25" t="s">
        <v>59</v>
      </c>
      <c r="B9" s="27">
        <f>B7-B8</f>
        <v>33000</v>
      </c>
      <c r="C9" s="23"/>
      <c r="D9" s="23" t="s">
        <v>79</v>
      </c>
      <c r="E9" s="24">
        <f>'First year inputs'!B17</f>
        <v>33000</v>
      </c>
    </row>
    <row r="10" spans="1:5" x14ac:dyDescent="0.35">
      <c r="A10" s="23"/>
      <c r="B10" s="24"/>
      <c r="C10" s="23"/>
      <c r="D10" s="23" t="s">
        <v>80</v>
      </c>
      <c r="E10" s="24">
        <f>'First year inputs'!B13</f>
        <v>36150</v>
      </c>
    </row>
    <row r="11" spans="1:5" x14ac:dyDescent="0.35">
      <c r="A11" s="90" t="s">
        <v>61</v>
      </c>
      <c r="B11" s="90"/>
      <c r="C11" s="23"/>
      <c r="D11" s="23" t="s">
        <v>25</v>
      </c>
      <c r="E11" s="28">
        <f>E9-E10</f>
        <v>-3150</v>
      </c>
    </row>
    <row r="12" spans="1:5" x14ac:dyDescent="0.35">
      <c r="A12" s="23" t="s">
        <v>3</v>
      </c>
      <c r="B12" s="24">
        <f>'First year inputs'!B3</f>
        <v>3600</v>
      </c>
      <c r="C12" s="23"/>
      <c r="D12" s="25" t="s">
        <v>78</v>
      </c>
      <c r="E12" s="28">
        <f>'First year inputs'!B20</f>
        <v>0</v>
      </c>
    </row>
    <row r="13" spans="1:5" x14ac:dyDescent="0.35">
      <c r="A13" s="23" t="s">
        <v>2</v>
      </c>
      <c r="B13" s="24">
        <f>'First year inputs'!B4</f>
        <v>2100</v>
      </c>
      <c r="C13" s="23"/>
      <c r="D13" s="23"/>
      <c r="E13" s="23"/>
    </row>
    <row r="14" spans="1:5" x14ac:dyDescent="0.35">
      <c r="A14" s="23" t="s">
        <v>4</v>
      </c>
      <c r="B14" s="24">
        <f>'First year inputs'!B5</f>
        <v>0</v>
      </c>
      <c r="C14" s="23"/>
      <c r="D14" s="90" t="s">
        <v>81</v>
      </c>
      <c r="E14" s="90"/>
    </row>
    <row r="15" spans="1:5" x14ac:dyDescent="0.35">
      <c r="A15" s="23" t="s">
        <v>5</v>
      </c>
      <c r="B15" s="24">
        <f>'First year inputs'!B6</f>
        <v>0</v>
      </c>
      <c r="C15" s="23"/>
      <c r="D15" s="23" t="s">
        <v>24</v>
      </c>
      <c r="E15" s="28">
        <f>B26</f>
        <v>-3150</v>
      </c>
    </row>
    <row r="16" spans="1:5" x14ac:dyDescent="0.35">
      <c r="A16" s="23" t="s">
        <v>76</v>
      </c>
      <c r="B16" s="24">
        <v>0</v>
      </c>
      <c r="C16" s="23"/>
      <c r="D16" s="23" t="s">
        <v>78</v>
      </c>
      <c r="E16" s="28">
        <f>'First year inputs'!B20</f>
        <v>0</v>
      </c>
    </row>
    <row r="17" spans="1:6" x14ac:dyDescent="0.35">
      <c r="A17" s="23" t="s">
        <v>6</v>
      </c>
      <c r="B17" s="24">
        <f>'First year inputs'!B7</f>
        <v>3600</v>
      </c>
      <c r="C17" s="23"/>
      <c r="D17" s="25" t="s">
        <v>81</v>
      </c>
      <c r="E17" s="28">
        <f>E15+E16</f>
        <v>-3150</v>
      </c>
    </row>
    <row r="18" spans="1:6" x14ac:dyDescent="0.35">
      <c r="A18" s="23" t="s">
        <v>60</v>
      </c>
      <c r="B18" s="24">
        <f>'First year inputs'!B8</f>
        <v>3500</v>
      </c>
      <c r="C18" s="23"/>
      <c r="D18" s="23"/>
      <c r="E18" s="23"/>
    </row>
    <row r="19" spans="1:6" x14ac:dyDescent="0.35">
      <c r="A19" s="25" t="s">
        <v>20</v>
      </c>
      <c r="B19" s="27">
        <f>SUM(B12:B18)</f>
        <v>12800</v>
      </c>
      <c r="C19" s="23"/>
      <c r="D19" s="90" t="s">
        <v>26</v>
      </c>
      <c r="E19" s="90"/>
    </row>
    <row r="20" spans="1:6" x14ac:dyDescent="0.35">
      <c r="A20" s="29"/>
      <c r="B20" s="29"/>
      <c r="C20" s="23"/>
      <c r="D20" s="23" t="s">
        <v>56</v>
      </c>
      <c r="E20" s="24">
        <f>B4</f>
        <v>30000</v>
      </c>
    </row>
    <row r="21" spans="1:6" x14ac:dyDescent="0.35">
      <c r="A21" s="90" t="s">
        <v>24</v>
      </c>
      <c r="B21" s="90"/>
      <c r="C21" s="23"/>
      <c r="D21" s="23" t="s">
        <v>24</v>
      </c>
      <c r="E21" s="28">
        <f>B26</f>
        <v>-3150</v>
      </c>
    </row>
    <row r="22" spans="1:6" x14ac:dyDescent="0.35">
      <c r="A22" s="23" t="s">
        <v>59</v>
      </c>
      <c r="B22" s="24">
        <f>B9</f>
        <v>33000</v>
      </c>
      <c r="C22" s="23"/>
      <c r="D22" s="23" t="s">
        <v>27</v>
      </c>
      <c r="E22" s="70">
        <v>0</v>
      </c>
      <c r="F22" s="1" t="s">
        <v>156</v>
      </c>
    </row>
    <row r="23" spans="1:6" x14ac:dyDescent="0.35">
      <c r="A23" s="23" t="s">
        <v>61</v>
      </c>
      <c r="B23" s="24">
        <f>SUM('First year inputs'!B3:B8)</f>
        <v>12800</v>
      </c>
      <c r="C23" s="23"/>
      <c r="D23" s="23" t="s">
        <v>78</v>
      </c>
      <c r="E23" s="28">
        <f>E12</f>
        <v>0</v>
      </c>
    </row>
    <row r="24" spans="1:6" x14ac:dyDescent="0.35">
      <c r="A24" s="23" t="s">
        <v>62</v>
      </c>
      <c r="B24" s="28">
        <f>B22-B23</f>
        <v>20200</v>
      </c>
      <c r="C24" s="23"/>
      <c r="D24" s="30" t="s">
        <v>82</v>
      </c>
      <c r="E24" s="24">
        <f>E20+E21+E22+E23</f>
        <v>26850</v>
      </c>
    </row>
    <row r="25" spans="1:6" x14ac:dyDescent="0.35">
      <c r="A25" s="23" t="s">
        <v>63</v>
      </c>
      <c r="B25" s="22">
        <f>'First year inputs'!F9</f>
        <v>23350</v>
      </c>
      <c r="C25" s="23" t="s">
        <v>147</v>
      </c>
      <c r="D25" s="23" t="s">
        <v>29</v>
      </c>
      <c r="E25" s="24">
        <f>E6</f>
        <v>1034000</v>
      </c>
    </row>
    <row r="26" spans="1:6" x14ac:dyDescent="0.35">
      <c r="A26" s="25" t="s">
        <v>24</v>
      </c>
      <c r="B26" s="28">
        <f>B24-B25</f>
        <v>-3150</v>
      </c>
      <c r="C26" s="23"/>
      <c r="D26" s="25" t="s">
        <v>26</v>
      </c>
      <c r="E26" s="31">
        <f>E24/(E25+E22)</f>
        <v>2.5967117988394583E-2</v>
      </c>
    </row>
    <row r="27" spans="1:6" x14ac:dyDescent="0.35">
      <c r="A27" s="23"/>
      <c r="B27" s="23"/>
      <c r="C27" s="23"/>
      <c r="D27" s="23"/>
      <c r="E27" s="23"/>
    </row>
    <row r="28" spans="1:6" x14ac:dyDescent="0.35">
      <c r="A28" s="90" t="s">
        <v>77</v>
      </c>
      <c r="B28" s="90"/>
      <c r="C28" s="23"/>
      <c r="D28" s="87" t="s">
        <v>30</v>
      </c>
      <c r="E28" s="87"/>
    </row>
    <row r="29" spans="1:6" x14ac:dyDescent="0.35">
      <c r="A29" s="23" t="s">
        <v>71</v>
      </c>
      <c r="B29" s="24">
        <f>'First year inputs'!F4</f>
        <v>467000</v>
      </c>
      <c r="C29" s="23"/>
      <c r="D29" s="23" t="s">
        <v>31</v>
      </c>
      <c r="E29" s="32">
        <f>B3/B7</f>
        <v>41.666666666666664</v>
      </c>
      <c r="F29" t="s">
        <v>157</v>
      </c>
    </row>
    <row r="30" spans="1:6" x14ac:dyDescent="0.35">
      <c r="A30" s="23" t="s">
        <v>72</v>
      </c>
      <c r="B30" s="24">
        <f>B31/12</f>
        <v>1945.8333333333333</v>
      </c>
      <c r="C30" s="23"/>
      <c r="D30" s="23" t="s">
        <v>26</v>
      </c>
      <c r="E30" s="31">
        <f>E26</f>
        <v>2.5967117988394583E-2</v>
      </c>
      <c r="F30" t="s">
        <v>85</v>
      </c>
    </row>
    <row r="31" spans="1:6" x14ac:dyDescent="0.35">
      <c r="A31" s="23" t="s">
        <v>70</v>
      </c>
      <c r="B31" s="22">
        <f>'First year inputs'!F9</f>
        <v>23350</v>
      </c>
      <c r="C31" s="23" t="s">
        <v>147</v>
      </c>
      <c r="D31" s="23" t="s">
        <v>84</v>
      </c>
      <c r="E31" s="31">
        <f>B24/B3</f>
        <v>1.3466666666666667E-2</v>
      </c>
      <c r="F31" t="s">
        <v>158</v>
      </c>
    </row>
    <row r="32" spans="1:6" x14ac:dyDescent="0.35">
      <c r="A32" s="23"/>
      <c r="B32" s="23"/>
      <c r="C32" s="23"/>
      <c r="D32" s="23" t="s">
        <v>86</v>
      </c>
      <c r="E32" s="82">
        <f>B26/E6</f>
        <v>-3.04642166344294E-3</v>
      </c>
      <c r="F32" t="s">
        <v>159</v>
      </c>
    </row>
    <row r="33" spans="1:5" x14ac:dyDescent="0.35">
      <c r="A33" s="23"/>
      <c r="B33" s="23"/>
      <c r="C33" s="23"/>
      <c r="D33" s="23"/>
      <c r="E33" s="23"/>
    </row>
    <row r="34" spans="1:5" x14ac:dyDescent="0.35">
      <c r="A34" s="23"/>
      <c r="B34" s="23"/>
      <c r="C34" s="23"/>
      <c r="D34" s="23"/>
      <c r="E34" s="23"/>
    </row>
    <row r="35" spans="1:5" x14ac:dyDescent="0.35">
      <c r="A35" s="23"/>
      <c r="B35" s="23"/>
      <c r="C35" s="23"/>
      <c r="D35" s="23"/>
      <c r="E35" s="23"/>
    </row>
    <row r="36" spans="1:5" x14ac:dyDescent="0.35">
      <c r="A36" s="23"/>
      <c r="B36" s="23"/>
      <c r="C36" s="23"/>
      <c r="D36" s="23"/>
      <c r="E36" s="23"/>
    </row>
    <row r="37" spans="1:5" x14ac:dyDescent="0.35">
      <c r="A37" s="23"/>
      <c r="B37" s="23"/>
      <c r="C37" s="23"/>
      <c r="D37" s="23"/>
      <c r="E37" s="23"/>
    </row>
    <row r="38" spans="1:5" x14ac:dyDescent="0.35">
      <c r="A38" s="23"/>
      <c r="B38" s="23"/>
      <c r="C38" s="23"/>
      <c r="D38" s="23"/>
      <c r="E38" s="23"/>
    </row>
    <row r="39" spans="1:5" x14ac:dyDescent="0.35">
      <c r="A39" s="23"/>
      <c r="B39" s="23"/>
      <c r="C39" s="23"/>
      <c r="D39" s="23"/>
      <c r="E39" s="23"/>
    </row>
    <row r="40" spans="1:5" x14ac:dyDescent="0.35">
      <c r="A40" s="23"/>
      <c r="B40" s="23"/>
      <c r="C40" s="23"/>
      <c r="D40" s="23"/>
      <c r="E40" s="23"/>
    </row>
    <row r="41" spans="1:5" x14ac:dyDescent="0.35">
      <c r="A41" s="23"/>
      <c r="B41" s="23"/>
      <c r="C41" s="23"/>
      <c r="D41" s="23"/>
      <c r="E41" s="23"/>
    </row>
    <row r="42" spans="1:5" x14ac:dyDescent="0.35">
      <c r="A42" s="23"/>
      <c r="B42" s="23"/>
      <c r="C42" s="23"/>
      <c r="D42" s="23"/>
      <c r="E42" s="23"/>
    </row>
    <row r="43" spans="1:5" x14ac:dyDescent="0.35">
      <c r="A43" s="23"/>
      <c r="B43" s="23"/>
      <c r="C43" s="23"/>
      <c r="D43" s="23"/>
      <c r="E43" s="23"/>
    </row>
    <row r="44" spans="1:5" x14ac:dyDescent="0.35">
      <c r="A44" s="23"/>
      <c r="B44" s="23"/>
      <c r="C44" s="23"/>
      <c r="D44" s="23"/>
      <c r="E44" s="23"/>
    </row>
    <row r="45" spans="1:5" x14ac:dyDescent="0.35">
      <c r="A45" s="23"/>
      <c r="B45" s="23"/>
      <c r="C45" s="23"/>
      <c r="D45" s="23"/>
      <c r="E45" s="23"/>
    </row>
    <row r="46" spans="1:5" x14ac:dyDescent="0.35">
      <c r="A46" s="23"/>
      <c r="B46" s="23"/>
      <c r="C46" s="23"/>
      <c r="D46" s="23"/>
      <c r="E46" s="23"/>
    </row>
    <row r="47" spans="1:5" x14ac:dyDescent="0.35">
      <c r="A47" s="23"/>
      <c r="B47" s="23"/>
      <c r="C47" s="23"/>
      <c r="D47" s="23"/>
      <c r="E47" s="23"/>
    </row>
    <row r="48" spans="1:5" x14ac:dyDescent="0.35">
      <c r="A48" s="23"/>
      <c r="B48" s="23"/>
      <c r="C48" s="23"/>
      <c r="D48" s="23"/>
      <c r="E48" s="23"/>
    </row>
    <row r="49" spans="1:5" x14ac:dyDescent="0.35">
      <c r="A49" s="23"/>
      <c r="B49" s="23"/>
      <c r="C49" s="23"/>
      <c r="D49" s="23"/>
      <c r="E49" s="23"/>
    </row>
    <row r="50" spans="1:5" x14ac:dyDescent="0.35">
      <c r="A50" s="23"/>
      <c r="B50" s="23"/>
      <c r="C50" s="23"/>
      <c r="D50" s="23"/>
      <c r="E50" s="23"/>
    </row>
    <row r="51" spans="1:5" x14ac:dyDescent="0.35">
      <c r="A51" s="23"/>
      <c r="B51" s="23"/>
      <c r="C51" s="23"/>
      <c r="D51" s="23"/>
      <c r="E51" s="23"/>
    </row>
    <row r="52" spans="1:5" x14ac:dyDescent="0.35">
      <c r="A52" s="23"/>
      <c r="B52" s="23"/>
      <c r="C52" s="23"/>
      <c r="D52" s="23"/>
      <c r="E52" s="23"/>
    </row>
    <row r="53" spans="1:5" x14ac:dyDescent="0.35">
      <c r="A53" s="23"/>
      <c r="B53" s="23"/>
      <c r="C53" s="23"/>
      <c r="D53" s="23"/>
      <c r="E53" s="23"/>
    </row>
    <row r="54" spans="1:5" x14ac:dyDescent="0.35">
      <c r="A54" s="23"/>
      <c r="B54" s="23"/>
      <c r="C54" s="23"/>
      <c r="D54" s="23"/>
      <c r="E54" s="23"/>
    </row>
    <row r="55" spans="1:5" x14ac:dyDescent="0.35">
      <c r="A55" s="23"/>
      <c r="B55" s="23"/>
      <c r="C55" s="23"/>
      <c r="D55" s="23"/>
      <c r="E55" s="23"/>
    </row>
    <row r="56" spans="1:5" x14ac:dyDescent="0.35">
      <c r="A56" s="23"/>
      <c r="B56" s="23"/>
      <c r="C56" s="23"/>
      <c r="D56" s="23"/>
      <c r="E56" s="23"/>
    </row>
    <row r="57" spans="1:5" x14ac:dyDescent="0.35">
      <c r="A57" s="23"/>
      <c r="B57" s="23"/>
      <c r="C57" s="23"/>
      <c r="D57" s="23"/>
      <c r="E57" s="23"/>
    </row>
    <row r="58" spans="1:5" x14ac:dyDescent="0.35">
      <c r="A58" s="23"/>
      <c r="B58" s="23"/>
      <c r="C58" s="23"/>
      <c r="D58" s="23"/>
      <c r="E58" s="23"/>
    </row>
    <row r="59" spans="1:5" x14ac:dyDescent="0.35">
      <c r="A59" s="23"/>
      <c r="B59" s="23"/>
      <c r="C59" s="23"/>
      <c r="D59" s="23"/>
      <c r="E59" s="23"/>
    </row>
    <row r="60" spans="1:5" x14ac:dyDescent="0.35">
      <c r="A60" s="23"/>
      <c r="B60" s="23"/>
      <c r="C60" s="23"/>
      <c r="D60" s="23"/>
      <c r="E60" s="23"/>
    </row>
    <row r="61" spans="1:5" x14ac:dyDescent="0.35">
      <c r="A61" s="23"/>
      <c r="B61" s="23"/>
      <c r="C61" s="23"/>
      <c r="D61" s="23"/>
      <c r="E61" s="23"/>
    </row>
    <row r="62" spans="1:5" x14ac:dyDescent="0.35">
      <c r="A62" s="23"/>
      <c r="B62" s="23"/>
      <c r="C62" s="23"/>
      <c r="D62" s="23"/>
      <c r="E62" s="23"/>
    </row>
    <row r="63" spans="1:5" x14ac:dyDescent="0.35">
      <c r="A63" s="23"/>
      <c r="B63" s="23"/>
      <c r="C63" s="23"/>
      <c r="D63" s="23"/>
      <c r="E63" s="23"/>
    </row>
    <row r="64" spans="1:5" x14ac:dyDescent="0.35">
      <c r="A64" s="23"/>
      <c r="B64" s="23"/>
      <c r="C64" s="23"/>
      <c r="D64" s="23"/>
      <c r="E64" s="23"/>
    </row>
    <row r="65" spans="1:5" x14ac:dyDescent="0.35">
      <c r="A65" s="23"/>
      <c r="B65" s="23"/>
      <c r="C65" s="23"/>
      <c r="D65" s="23"/>
      <c r="E65" s="23"/>
    </row>
    <row r="66" spans="1:5" x14ac:dyDescent="0.35">
      <c r="A66" s="23"/>
      <c r="B66" s="23"/>
      <c r="C66" s="23"/>
      <c r="D66" s="23"/>
      <c r="E66" s="23"/>
    </row>
    <row r="67" spans="1:5" x14ac:dyDescent="0.35">
      <c r="A67" s="23"/>
      <c r="B67" s="23"/>
      <c r="C67" s="23"/>
      <c r="D67" s="23"/>
      <c r="E67" s="23"/>
    </row>
    <row r="68" spans="1:5" x14ac:dyDescent="0.35">
      <c r="A68" s="23"/>
      <c r="B68" s="23"/>
      <c r="C68" s="23"/>
      <c r="D68" s="23"/>
      <c r="E68" s="23"/>
    </row>
    <row r="69" spans="1:5" x14ac:dyDescent="0.35">
      <c r="A69" s="23"/>
      <c r="B69" s="23"/>
      <c r="C69" s="23"/>
      <c r="D69" s="23"/>
      <c r="E69" s="23"/>
    </row>
    <row r="70" spans="1:5" x14ac:dyDescent="0.35">
      <c r="A70" s="23"/>
      <c r="B70" s="23"/>
      <c r="C70" s="23"/>
      <c r="D70" s="23"/>
      <c r="E70" s="23"/>
    </row>
    <row r="71" spans="1:5" x14ac:dyDescent="0.35">
      <c r="A71" s="23"/>
      <c r="B71" s="23"/>
      <c r="C71" s="23"/>
      <c r="D71" s="23"/>
      <c r="E71" s="23"/>
    </row>
    <row r="72" spans="1:5" x14ac:dyDescent="0.35">
      <c r="A72" s="23"/>
      <c r="B72" s="23"/>
      <c r="C72" s="23"/>
      <c r="D72" s="23"/>
      <c r="E72" s="23"/>
    </row>
    <row r="73" spans="1:5" x14ac:dyDescent="0.35">
      <c r="A73" s="23"/>
      <c r="B73" s="23"/>
      <c r="C73" s="23"/>
      <c r="D73" s="23"/>
      <c r="E73" s="23"/>
    </row>
    <row r="74" spans="1:5" x14ac:dyDescent="0.35">
      <c r="A74" s="23"/>
      <c r="B74" s="23"/>
      <c r="C74" s="23"/>
      <c r="D74" s="23"/>
      <c r="E74" s="23"/>
    </row>
    <row r="75" spans="1:5" x14ac:dyDescent="0.35">
      <c r="A75" s="23"/>
      <c r="B75" s="23"/>
      <c r="C75" s="23"/>
      <c r="D75" s="23"/>
      <c r="E75" s="23"/>
    </row>
    <row r="76" spans="1:5" x14ac:dyDescent="0.35">
      <c r="A76" s="23"/>
      <c r="B76" s="23"/>
      <c r="C76" s="23"/>
      <c r="D76" s="23"/>
      <c r="E76" s="23"/>
    </row>
    <row r="77" spans="1:5" x14ac:dyDescent="0.35">
      <c r="A77" s="23"/>
      <c r="B77" s="23"/>
      <c r="C77" s="23"/>
      <c r="D77" s="23"/>
      <c r="E77" s="23"/>
    </row>
  </sheetData>
  <sheetProtection algorithmName="SHA-512" hashValue="ehwG1ftVlSfuy+mI9Jo6oS/eEfRZ+vMawSBgHhy5Ar6N9lvhJjCClAlauaF0qbnT9hWGeXc39b6JRIX0Hs3zig==" saltValue="00F0GuD/gr6wvR1+02/VXw==" spinCount="100000" sheet="1" objects="1" scenarios="1"/>
  <mergeCells count="11">
    <mergeCell ref="D28:E28"/>
    <mergeCell ref="A1:E1"/>
    <mergeCell ref="A2:B2"/>
    <mergeCell ref="A6:B6"/>
    <mergeCell ref="A11:B11"/>
    <mergeCell ref="D2:E2"/>
    <mergeCell ref="D8:E8"/>
    <mergeCell ref="D14:E14"/>
    <mergeCell ref="D19:E19"/>
    <mergeCell ref="A28:B28"/>
    <mergeCell ref="A21:B21"/>
  </mergeCells>
  <conditionalFormatting sqref="E32">
    <cfRule type="cellIs" dxfId="2" priority="1" operator="greaterThan">
      <formula>0</formula>
    </cfRule>
    <cfRule type="cellIs" dxfId="1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L200"/>
  <sheetViews>
    <sheetView workbookViewId="0">
      <selection activeCell="F19" sqref="F19"/>
    </sheetView>
  </sheetViews>
  <sheetFormatPr defaultRowHeight="14.5" x14ac:dyDescent="0.35"/>
  <cols>
    <col min="1" max="1" width="75.81640625" bestFit="1" customWidth="1"/>
    <col min="3" max="3" width="12.81640625" customWidth="1"/>
    <col min="4" max="4" width="11.26953125" bestFit="1" customWidth="1"/>
    <col min="5" max="12" width="11" bestFit="1" customWidth="1"/>
  </cols>
  <sheetData>
    <row r="1" spans="1:12" x14ac:dyDescent="0.35">
      <c r="B1" s="21"/>
      <c r="C1" s="91" t="s">
        <v>129</v>
      </c>
      <c r="D1" s="91"/>
      <c r="E1" s="91"/>
      <c r="F1" s="91"/>
      <c r="G1" s="91"/>
      <c r="H1" s="91"/>
      <c r="I1" s="91"/>
      <c r="J1" s="91"/>
      <c r="K1" s="91"/>
      <c r="L1" s="91"/>
    </row>
    <row r="2" spans="1:12" x14ac:dyDescent="0.35">
      <c r="B2" s="33"/>
      <c r="C2" s="34" t="s">
        <v>95</v>
      </c>
      <c r="D2" s="34" t="s">
        <v>96</v>
      </c>
      <c r="E2" s="34" t="s">
        <v>97</v>
      </c>
      <c r="F2" s="34" t="s">
        <v>98</v>
      </c>
      <c r="G2" s="34" t="s">
        <v>99</v>
      </c>
      <c r="H2" s="34" t="s">
        <v>100</v>
      </c>
      <c r="I2" s="34" t="s">
        <v>101</v>
      </c>
      <c r="J2" s="34" t="s">
        <v>102</v>
      </c>
      <c r="K2" s="34" t="s">
        <v>103</v>
      </c>
      <c r="L2" s="34" t="s">
        <v>104</v>
      </c>
    </row>
    <row r="3" spans="1:12" x14ac:dyDescent="0.35">
      <c r="A3" t="s">
        <v>88</v>
      </c>
      <c r="B3" s="31">
        <f>'First year inputs'!B25</f>
        <v>0.02</v>
      </c>
      <c r="C3" s="36"/>
      <c r="D3" s="37">
        <f>$B$3</f>
        <v>0.02</v>
      </c>
      <c r="E3" s="37">
        <f t="shared" ref="E3:L3" si="0">$B$3</f>
        <v>0.02</v>
      </c>
      <c r="F3" s="37">
        <f t="shared" si="0"/>
        <v>0.02</v>
      </c>
      <c r="G3" s="37">
        <f t="shared" si="0"/>
        <v>0.02</v>
      </c>
      <c r="H3" s="37">
        <f t="shared" si="0"/>
        <v>0.02</v>
      </c>
      <c r="I3" s="37">
        <f t="shared" si="0"/>
        <v>0.02</v>
      </c>
      <c r="J3" s="37">
        <f t="shared" si="0"/>
        <v>0.02</v>
      </c>
      <c r="K3" s="37">
        <f t="shared" si="0"/>
        <v>0.02</v>
      </c>
      <c r="L3" s="37">
        <f t="shared" si="0"/>
        <v>0.02</v>
      </c>
    </row>
    <row r="4" spans="1:12" x14ac:dyDescent="0.35">
      <c r="A4" t="s">
        <v>57</v>
      </c>
      <c r="B4" s="38"/>
      <c r="C4" s="39">
        <f>'First year inputs'!B15</f>
        <v>36000</v>
      </c>
      <c r="D4" s="39">
        <f>C4*(1+D3)</f>
        <v>36720</v>
      </c>
      <c r="E4" s="39">
        <f>D4*(1+E3)</f>
        <v>37454.400000000001</v>
      </c>
      <c r="F4" s="39">
        <f t="shared" ref="F4:L4" si="1">E4*(1+F3)</f>
        <v>38203.488000000005</v>
      </c>
      <c r="G4" s="39">
        <f t="shared" si="1"/>
        <v>38967.557760000003</v>
      </c>
      <c r="H4" s="39">
        <f t="shared" si="1"/>
        <v>39746.908915200002</v>
      </c>
      <c r="I4" s="39">
        <f t="shared" si="1"/>
        <v>40541.847093504002</v>
      </c>
      <c r="J4" s="39">
        <f t="shared" si="1"/>
        <v>41352.684035374084</v>
      </c>
      <c r="K4" s="39">
        <f t="shared" si="1"/>
        <v>42179.737716081567</v>
      </c>
      <c r="L4" s="39">
        <f t="shared" si="1"/>
        <v>43023.332470403198</v>
      </c>
    </row>
    <row r="5" spans="1:12" x14ac:dyDescent="0.35">
      <c r="A5" t="s">
        <v>89</v>
      </c>
      <c r="B5" s="31">
        <f>'First year inputs'!B27</f>
        <v>8.3333333333333329E-2</v>
      </c>
      <c r="C5" s="39">
        <f>C4*$B$5</f>
        <v>3000</v>
      </c>
      <c r="D5" s="39">
        <f>D4*$B$5</f>
        <v>3060</v>
      </c>
      <c r="E5" s="39">
        <f t="shared" ref="E5:L5" si="2">E4*$B$5</f>
        <v>3121.2</v>
      </c>
      <c r="F5" s="39">
        <f t="shared" si="2"/>
        <v>3183.6240000000003</v>
      </c>
      <c r="G5" s="39">
        <f t="shared" si="2"/>
        <v>3247.29648</v>
      </c>
      <c r="H5" s="39">
        <f t="shared" si="2"/>
        <v>3312.2424096</v>
      </c>
      <c r="I5" s="39">
        <f t="shared" si="2"/>
        <v>3378.487257792</v>
      </c>
      <c r="J5" s="39">
        <f t="shared" si="2"/>
        <v>3446.0570029478404</v>
      </c>
      <c r="K5" s="39">
        <f t="shared" si="2"/>
        <v>3514.9781430067969</v>
      </c>
      <c r="L5" s="39">
        <f t="shared" si="2"/>
        <v>3585.277705866933</v>
      </c>
    </row>
    <row r="6" spans="1:12" x14ac:dyDescent="0.35">
      <c r="A6" s="1" t="s">
        <v>59</v>
      </c>
      <c r="B6" s="38"/>
      <c r="C6" s="40">
        <f>C4-C5</f>
        <v>33000</v>
      </c>
      <c r="D6" s="40">
        <f t="shared" ref="D6:L6" si="3">D4-D5</f>
        <v>33660</v>
      </c>
      <c r="E6" s="40">
        <f t="shared" si="3"/>
        <v>34333.200000000004</v>
      </c>
      <c r="F6" s="40">
        <f t="shared" si="3"/>
        <v>35019.864000000001</v>
      </c>
      <c r="G6" s="40">
        <f t="shared" si="3"/>
        <v>35720.261280000006</v>
      </c>
      <c r="H6" s="40">
        <f t="shared" si="3"/>
        <v>36434.666505599998</v>
      </c>
      <c r="I6" s="40">
        <f t="shared" si="3"/>
        <v>37163.359835711999</v>
      </c>
      <c r="J6" s="40">
        <f t="shared" si="3"/>
        <v>37906.627032426244</v>
      </c>
      <c r="K6" s="40">
        <f t="shared" si="3"/>
        <v>38664.759573074771</v>
      </c>
      <c r="L6" s="40">
        <f t="shared" si="3"/>
        <v>39438.054764536268</v>
      </c>
    </row>
    <row r="7" spans="1:12" x14ac:dyDescent="0.35"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</row>
    <row r="8" spans="1:12" x14ac:dyDescent="0.35">
      <c r="B8" s="23"/>
      <c r="C8" s="92" t="s">
        <v>128</v>
      </c>
      <c r="D8" s="92"/>
      <c r="E8" s="92"/>
      <c r="F8" s="92"/>
      <c r="G8" s="92"/>
      <c r="H8" s="92"/>
      <c r="I8" s="92"/>
      <c r="J8" s="92"/>
      <c r="K8" s="92"/>
      <c r="L8" s="92"/>
    </row>
    <row r="9" spans="1:12" x14ac:dyDescent="0.35">
      <c r="B9" s="38"/>
      <c r="C9" s="41" t="s">
        <v>95</v>
      </c>
      <c r="D9" s="41" t="s">
        <v>96</v>
      </c>
      <c r="E9" s="41" t="s">
        <v>97</v>
      </c>
      <c r="F9" s="41" t="s">
        <v>98</v>
      </c>
      <c r="G9" s="41" t="s">
        <v>99</v>
      </c>
      <c r="H9" s="41" t="s">
        <v>100</v>
      </c>
      <c r="I9" s="41" t="s">
        <v>101</v>
      </c>
      <c r="J9" s="41" t="s">
        <v>102</v>
      </c>
      <c r="K9" s="41" t="s">
        <v>103</v>
      </c>
      <c r="L9" s="41" t="s">
        <v>104</v>
      </c>
    </row>
    <row r="10" spans="1:12" x14ac:dyDescent="0.35">
      <c r="A10" t="s">
        <v>59</v>
      </c>
      <c r="B10" s="38"/>
      <c r="C10" s="39">
        <f>C6</f>
        <v>33000</v>
      </c>
      <c r="D10" s="39">
        <f t="shared" ref="D10:L10" si="4">D6</f>
        <v>33660</v>
      </c>
      <c r="E10" s="39">
        <f t="shared" si="4"/>
        <v>34333.200000000004</v>
      </c>
      <c r="F10" s="39">
        <f t="shared" si="4"/>
        <v>35019.864000000001</v>
      </c>
      <c r="G10" s="39">
        <f t="shared" si="4"/>
        <v>35720.261280000006</v>
      </c>
      <c r="H10" s="39">
        <f t="shared" si="4"/>
        <v>36434.666505599998</v>
      </c>
      <c r="I10" s="39">
        <f t="shared" si="4"/>
        <v>37163.359835711999</v>
      </c>
      <c r="J10" s="39">
        <f t="shared" si="4"/>
        <v>37906.627032426244</v>
      </c>
      <c r="K10" s="39">
        <f t="shared" si="4"/>
        <v>38664.759573074771</v>
      </c>
      <c r="L10" s="39">
        <f t="shared" si="4"/>
        <v>39438.054764536268</v>
      </c>
    </row>
    <row r="11" spans="1:12" x14ac:dyDescent="0.35">
      <c r="A11" t="s">
        <v>90</v>
      </c>
      <c r="B11" s="31">
        <f>'First year inputs'!B28</f>
        <v>0.02</v>
      </c>
      <c r="C11" s="36"/>
      <c r="D11" s="37">
        <f>$B$11</f>
        <v>0.02</v>
      </c>
      <c r="E11" s="37">
        <f t="shared" ref="E11:L11" si="5">$B$11</f>
        <v>0.02</v>
      </c>
      <c r="F11" s="37">
        <f t="shared" si="5"/>
        <v>0.02</v>
      </c>
      <c r="G11" s="37">
        <f t="shared" si="5"/>
        <v>0.02</v>
      </c>
      <c r="H11" s="37">
        <f t="shared" si="5"/>
        <v>0.02</v>
      </c>
      <c r="I11" s="37">
        <f t="shared" si="5"/>
        <v>0.02</v>
      </c>
      <c r="J11" s="37">
        <f t="shared" si="5"/>
        <v>0.02</v>
      </c>
      <c r="K11" s="37">
        <f t="shared" si="5"/>
        <v>0.02</v>
      </c>
      <c r="L11" s="37">
        <f t="shared" si="5"/>
        <v>0.02</v>
      </c>
    </row>
    <row r="12" spans="1:12" x14ac:dyDescent="0.35">
      <c r="A12" t="s">
        <v>91</v>
      </c>
      <c r="B12" s="38"/>
      <c r="C12" s="39">
        <f>'First year summary'!B23</f>
        <v>12800</v>
      </c>
      <c r="D12" s="39">
        <f>C12*(1+D11)</f>
        <v>13056</v>
      </c>
      <c r="E12" s="39">
        <f t="shared" ref="E12:L12" si="6">D12*(1+E11)</f>
        <v>13317.12</v>
      </c>
      <c r="F12" s="39">
        <f t="shared" si="6"/>
        <v>13583.4624</v>
      </c>
      <c r="G12" s="39">
        <f t="shared" si="6"/>
        <v>13855.131648</v>
      </c>
      <c r="H12" s="39">
        <f t="shared" si="6"/>
        <v>14132.234280960001</v>
      </c>
      <c r="I12" s="39">
        <f t="shared" si="6"/>
        <v>14414.878966579201</v>
      </c>
      <c r="J12" s="39">
        <f t="shared" si="6"/>
        <v>14703.176545910785</v>
      </c>
      <c r="K12" s="39">
        <f t="shared" si="6"/>
        <v>14997.240076829001</v>
      </c>
      <c r="L12" s="39">
        <f t="shared" si="6"/>
        <v>15297.184878365581</v>
      </c>
    </row>
    <row r="13" spans="1:12" x14ac:dyDescent="0.35">
      <c r="A13" t="s">
        <v>92</v>
      </c>
      <c r="B13" s="38"/>
      <c r="C13" s="42">
        <f>C12/C10</f>
        <v>0.38787878787878788</v>
      </c>
      <c r="D13" s="42">
        <f t="shared" ref="D13:L13" si="7">D12/D10</f>
        <v>0.38787878787878788</v>
      </c>
      <c r="E13" s="42">
        <f t="shared" si="7"/>
        <v>0.38787878787878788</v>
      </c>
      <c r="F13" s="42">
        <f t="shared" si="7"/>
        <v>0.38787878787878788</v>
      </c>
      <c r="G13" s="42">
        <f t="shared" si="7"/>
        <v>0.38787878787878782</v>
      </c>
      <c r="H13" s="42">
        <f t="shared" si="7"/>
        <v>0.38787878787878793</v>
      </c>
      <c r="I13" s="42">
        <f t="shared" si="7"/>
        <v>0.38787878787878793</v>
      </c>
      <c r="J13" s="42">
        <f t="shared" si="7"/>
        <v>0.38787878787878788</v>
      </c>
      <c r="K13" s="42">
        <f t="shared" si="7"/>
        <v>0.38787878787878782</v>
      </c>
      <c r="L13" s="42">
        <f t="shared" si="7"/>
        <v>0.38787878787878782</v>
      </c>
    </row>
    <row r="14" spans="1:12" x14ac:dyDescent="0.35">
      <c r="A14" s="1" t="s">
        <v>93</v>
      </c>
      <c r="B14" s="38"/>
      <c r="C14" s="40">
        <f>C10-C12</f>
        <v>20200</v>
      </c>
      <c r="D14" s="40">
        <f t="shared" ref="D14:L14" si="8">D10-D12</f>
        <v>20604</v>
      </c>
      <c r="E14" s="40">
        <f t="shared" si="8"/>
        <v>21016.080000000002</v>
      </c>
      <c r="F14" s="40">
        <f t="shared" si="8"/>
        <v>21436.401600000001</v>
      </c>
      <c r="G14" s="40">
        <f t="shared" si="8"/>
        <v>21865.129632000004</v>
      </c>
      <c r="H14" s="40">
        <f t="shared" si="8"/>
        <v>22302.432224639997</v>
      </c>
      <c r="I14" s="40">
        <f t="shared" si="8"/>
        <v>22748.4808691328</v>
      </c>
      <c r="J14" s="40">
        <f t="shared" si="8"/>
        <v>23203.450486515459</v>
      </c>
      <c r="K14" s="40">
        <f t="shared" si="8"/>
        <v>23667.519496245768</v>
      </c>
      <c r="L14" s="40">
        <f t="shared" si="8"/>
        <v>24140.869886170687</v>
      </c>
    </row>
    <row r="15" spans="1:12" x14ac:dyDescent="0.35"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</row>
    <row r="16" spans="1:12" x14ac:dyDescent="0.35">
      <c r="B16" s="23"/>
      <c r="C16" s="92" t="s">
        <v>127</v>
      </c>
      <c r="D16" s="92"/>
      <c r="E16" s="92"/>
      <c r="F16" s="92"/>
      <c r="G16" s="92"/>
      <c r="H16" s="92"/>
      <c r="I16" s="92"/>
      <c r="J16" s="92"/>
      <c r="K16" s="92"/>
      <c r="L16" s="92"/>
    </row>
    <row r="17" spans="1:12" x14ac:dyDescent="0.35">
      <c r="B17" s="38"/>
      <c r="C17" s="41" t="s">
        <v>95</v>
      </c>
      <c r="D17" s="41" t="s">
        <v>96</v>
      </c>
      <c r="E17" s="41" t="s">
        <v>97</v>
      </c>
      <c r="F17" s="41" t="s">
        <v>98</v>
      </c>
      <c r="G17" s="41" t="s">
        <v>99</v>
      </c>
      <c r="H17" s="41" t="s">
        <v>100</v>
      </c>
      <c r="I17" s="41" t="s">
        <v>101</v>
      </c>
      <c r="J17" s="41" t="s">
        <v>102</v>
      </c>
      <c r="K17" s="41" t="s">
        <v>103</v>
      </c>
      <c r="L17" s="41" t="s">
        <v>104</v>
      </c>
    </row>
    <row r="18" spans="1:12" x14ac:dyDescent="0.35">
      <c r="A18" t="s">
        <v>62</v>
      </c>
      <c r="B18" s="23"/>
      <c r="C18" s="39">
        <f>C14</f>
        <v>20200</v>
      </c>
      <c r="D18" s="39">
        <f t="shared" ref="D18:L18" si="9">D14</f>
        <v>20604</v>
      </c>
      <c r="E18" s="39">
        <f t="shared" si="9"/>
        <v>21016.080000000002</v>
      </c>
      <c r="F18" s="39">
        <f t="shared" si="9"/>
        <v>21436.401600000001</v>
      </c>
      <c r="G18" s="39">
        <f t="shared" si="9"/>
        <v>21865.129632000004</v>
      </c>
      <c r="H18" s="39">
        <f t="shared" si="9"/>
        <v>22302.432224639997</v>
      </c>
      <c r="I18" s="39">
        <f t="shared" si="9"/>
        <v>22748.4808691328</v>
      </c>
      <c r="J18" s="39">
        <f t="shared" si="9"/>
        <v>23203.450486515459</v>
      </c>
      <c r="K18" s="39">
        <f t="shared" si="9"/>
        <v>23667.519496245768</v>
      </c>
      <c r="L18" s="39">
        <f t="shared" si="9"/>
        <v>24140.869886170687</v>
      </c>
    </row>
    <row r="19" spans="1:12" x14ac:dyDescent="0.35">
      <c r="A19" t="s">
        <v>154</v>
      </c>
      <c r="B19" s="23"/>
      <c r="C19" s="39">
        <f>'First year inputs'!$F$9</f>
        <v>23350</v>
      </c>
      <c r="D19" s="39">
        <f>'First year inputs'!$F$9</f>
        <v>23350</v>
      </c>
      <c r="E19" s="39">
        <f>'First year inputs'!$F$9</f>
        <v>23350</v>
      </c>
      <c r="F19" s="39">
        <f>'First year inputs'!$F$9</f>
        <v>23350</v>
      </c>
      <c r="G19" s="39">
        <f>'First year inputs'!$F$9</f>
        <v>23350</v>
      </c>
      <c r="H19" s="39">
        <f>'First year inputs'!$F$9</f>
        <v>23350</v>
      </c>
      <c r="I19" s="39">
        <f>'First year inputs'!$F$9</f>
        <v>23350</v>
      </c>
      <c r="J19" s="39">
        <f>'First year inputs'!$F$9</f>
        <v>23350</v>
      </c>
      <c r="K19" s="39">
        <f>'First year inputs'!$F$9</f>
        <v>23350</v>
      </c>
      <c r="L19" s="39">
        <f>'First year inputs'!$F$9</f>
        <v>23350</v>
      </c>
    </row>
    <row r="20" spans="1:12" x14ac:dyDescent="0.35">
      <c r="A20" s="1" t="s">
        <v>94</v>
      </c>
      <c r="B20" s="23"/>
      <c r="C20" s="43">
        <f>C18-C19</f>
        <v>-3150</v>
      </c>
      <c r="D20" s="43">
        <f t="shared" ref="D20:L20" si="10">D18-D19</f>
        <v>-2746</v>
      </c>
      <c r="E20" s="43">
        <f t="shared" si="10"/>
        <v>-2333.9199999999983</v>
      </c>
      <c r="F20" s="43">
        <f t="shared" si="10"/>
        <v>-1913.5983999999989</v>
      </c>
      <c r="G20" s="43">
        <f t="shared" si="10"/>
        <v>-1484.8703679999962</v>
      </c>
      <c r="H20" s="43">
        <f t="shared" si="10"/>
        <v>-1047.567775360003</v>
      </c>
      <c r="I20" s="43">
        <f t="shared" si="10"/>
        <v>-601.51913086720015</v>
      </c>
      <c r="J20" s="43">
        <f t="shared" si="10"/>
        <v>-146.54951348454051</v>
      </c>
      <c r="K20" s="43">
        <f t="shared" si="10"/>
        <v>317.5194962457681</v>
      </c>
      <c r="L20" s="43">
        <f t="shared" si="10"/>
        <v>790.8698861706871</v>
      </c>
    </row>
    <row r="21" spans="1:12" x14ac:dyDescent="0.35"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</row>
    <row r="22" spans="1:12" x14ac:dyDescent="0.35">
      <c r="B22" s="23"/>
      <c r="C22" s="93" t="s">
        <v>126</v>
      </c>
      <c r="D22" s="93"/>
      <c r="E22" s="93"/>
      <c r="F22" s="93"/>
      <c r="G22" s="93"/>
      <c r="H22" s="93"/>
      <c r="I22" s="93"/>
      <c r="J22" s="93"/>
      <c r="K22" s="93"/>
      <c r="L22" s="93"/>
    </row>
    <row r="23" spans="1:12" x14ac:dyDescent="0.35">
      <c r="B23" s="23"/>
      <c r="C23" s="41" t="s">
        <v>95</v>
      </c>
      <c r="D23" s="41" t="s">
        <v>96</v>
      </c>
      <c r="E23" s="41" t="s">
        <v>97</v>
      </c>
      <c r="F23" s="41" t="s">
        <v>98</v>
      </c>
      <c r="G23" s="41" t="s">
        <v>99</v>
      </c>
      <c r="H23" s="41" t="s">
        <v>100</v>
      </c>
      <c r="I23" s="41" t="s">
        <v>101</v>
      </c>
      <c r="J23" s="41" t="s">
        <v>102</v>
      </c>
      <c r="K23" s="41" t="s">
        <v>103</v>
      </c>
      <c r="L23" s="41" t="s">
        <v>104</v>
      </c>
    </row>
    <row r="24" spans="1:12" x14ac:dyDescent="0.35">
      <c r="A24" t="s">
        <v>59</v>
      </c>
      <c r="B24" s="38"/>
      <c r="C24" s="39">
        <f>C6</f>
        <v>33000</v>
      </c>
      <c r="D24" s="39">
        <f t="shared" ref="D24:L24" si="11">D6</f>
        <v>33660</v>
      </c>
      <c r="E24" s="39">
        <f t="shared" si="11"/>
        <v>34333.200000000004</v>
      </c>
      <c r="F24" s="39">
        <f t="shared" si="11"/>
        <v>35019.864000000001</v>
      </c>
      <c r="G24" s="39">
        <f t="shared" si="11"/>
        <v>35720.261280000006</v>
      </c>
      <c r="H24" s="39">
        <f t="shared" si="11"/>
        <v>36434.666505599998</v>
      </c>
      <c r="I24" s="39">
        <f t="shared" si="11"/>
        <v>37163.359835711999</v>
      </c>
      <c r="J24" s="39">
        <f t="shared" si="11"/>
        <v>37906.627032426244</v>
      </c>
      <c r="K24" s="39">
        <f t="shared" si="11"/>
        <v>38664.759573074771</v>
      </c>
      <c r="L24" s="39">
        <f t="shared" si="11"/>
        <v>39438.054764536268</v>
      </c>
    </row>
    <row r="25" spans="1:12" x14ac:dyDescent="0.35">
      <c r="A25" t="s">
        <v>106</v>
      </c>
      <c r="B25" s="38"/>
      <c r="C25" s="39">
        <f>'First year summary'!B19</f>
        <v>12800</v>
      </c>
      <c r="D25" s="39">
        <f>C25*(1+$B$11)</f>
        <v>13056</v>
      </c>
      <c r="E25" s="39">
        <f t="shared" ref="E25:L25" si="12">D25*(1+$B$11)</f>
        <v>13317.12</v>
      </c>
      <c r="F25" s="39">
        <f t="shared" si="12"/>
        <v>13583.4624</v>
      </c>
      <c r="G25" s="39">
        <f t="shared" si="12"/>
        <v>13855.131648</v>
      </c>
      <c r="H25" s="39">
        <f t="shared" si="12"/>
        <v>14132.234280960001</v>
      </c>
      <c r="I25" s="39">
        <f t="shared" si="12"/>
        <v>14414.878966579201</v>
      </c>
      <c r="J25" s="39">
        <f t="shared" si="12"/>
        <v>14703.176545910785</v>
      </c>
      <c r="K25" s="39">
        <f t="shared" si="12"/>
        <v>14997.240076829001</v>
      </c>
      <c r="L25" s="39">
        <f t="shared" si="12"/>
        <v>15297.184878365581</v>
      </c>
    </row>
    <row r="26" spans="1:12" x14ac:dyDescent="0.35">
      <c r="A26" t="s">
        <v>150</v>
      </c>
      <c r="B26" s="38"/>
      <c r="C26" s="39">
        <f>'Mortgage schedule'!$E$3</f>
        <v>23350</v>
      </c>
      <c r="D26" s="39">
        <f>'Mortgage schedule'!$E$3</f>
        <v>23350</v>
      </c>
      <c r="E26" s="39">
        <f>'Mortgage schedule'!$E$3</f>
        <v>23350</v>
      </c>
      <c r="F26" s="39">
        <f>'Mortgage schedule'!$E$3</f>
        <v>23350</v>
      </c>
      <c r="G26" s="39">
        <f>'Mortgage schedule'!$E$3</f>
        <v>23350</v>
      </c>
      <c r="H26" s="39">
        <f>'Mortgage schedule'!$E$3</f>
        <v>23350</v>
      </c>
      <c r="I26" s="39">
        <f>'Mortgage schedule'!$E$3</f>
        <v>23350</v>
      </c>
      <c r="J26" s="39">
        <f>'Mortgage schedule'!$E$3</f>
        <v>23350</v>
      </c>
      <c r="K26" s="39">
        <f>'Mortgage schedule'!$E$3</f>
        <v>23350</v>
      </c>
      <c r="L26" s="39">
        <f>'Mortgage schedule'!$E$3</f>
        <v>23350</v>
      </c>
    </row>
    <row r="27" spans="1:12" x14ac:dyDescent="0.35">
      <c r="A27" t="s">
        <v>107</v>
      </c>
      <c r="B27" s="38"/>
      <c r="C27" s="39">
        <f>'First year inputs'!$B$11</f>
        <v>0</v>
      </c>
      <c r="D27" s="39">
        <f>'First year inputs'!$B$11</f>
        <v>0</v>
      </c>
      <c r="E27" s="39">
        <f>'First year inputs'!$B$11</f>
        <v>0</v>
      </c>
      <c r="F27" s="39">
        <f>'First year inputs'!$B$11</f>
        <v>0</v>
      </c>
      <c r="G27" s="39">
        <f>'First year inputs'!$B$11</f>
        <v>0</v>
      </c>
      <c r="H27" s="39">
        <f>'First year inputs'!$B$11</f>
        <v>0</v>
      </c>
      <c r="I27" s="39">
        <f>'First year inputs'!$B$11</f>
        <v>0</v>
      </c>
      <c r="J27" s="39">
        <f>'First year inputs'!$B$11</f>
        <v>0</v>
      </c>
      <c r="K27" s="39">
        <f>'First year inputs'!$B$11</f>
        <v>0</v>
      </c>
      <c r="L27" s="39">
        <f>'First year inputs'!$B$11</f>
        <v>0</v>
      </c>
    </row>
    <row r="28" spans="1:12" x14ac:dyDescent="0.35">
      <c r="A28" t="s">
        <v>25</v>
      </c>
      <c r="B28" s="38"/>
      <c r="C28" s="44">
        <f>C24-C25-C26-C27</f>
        <v>-3150</v>
      </c>
      <c r="D28" s="44">
        <f t="shared" ref="D28:L28" si="13">D24-D25-D26-D27</f>
        <v>-2746</v>
      </c>
      <c r="E28" s="44">
        <f t="shared" si="13"/>
        <v>-2333.9199999999983</v>
      </c>
      <c r="F28" s="44">
        <f t="shared" si="13"/>
        <v>-1913.5983999999989</v>
      </c>
      <c r="G28" s="44">
        <f t="shared" si="13"/>
        <v>-1484.8703679999962</v>
      </c>
      <c r="H28" s="44">
        <f t="shared" si="13"/>
        <v>-1047.567775360003</v>
      </c>
      <c r="I28" s="44">
        <f t="shared" si="13"/>
        <v>-601.51913086720015</v>
      </c>
      <c r="J28" s="44">
        <f t="shared" si="13"/>
        <v>-146.54951348454051</v>
      </c>
      <c r="K28" s="44">
        <f t="shared" si="13"/>
        <v>317.5194962457681</v>
      </c>
      <c r="L28" s="44">
        <f t="shared" si="13"/>
        <v>790.8698861706871</v>
      </c>
    </row>
    <row r="29" spans="1:12" x14ac:dyDescent="0.35">
      <c r="A29" t="s">
        <v>108</v>
      </c>
      <c r="B29" s="45">
        <f>'First year inputs'!B29</f>
        <v>0.33</v>
      </c>
      <c r="C29" s="46">
        <f>$B$29</f>
        <v>0.33</v>
      </c>
      <c r="D29" s="46">
        <f t="shared" ref="D29:L29" si="14">$B$29</f>
        <v>0.33</v>
      </c>
      <c r="E29" s="46">
        <f t="shared" si="14"/>
        <v>0.33</v>
      </c>
      <c r="F29" s="46">
        <f t="shared" si="14"/>
        <v>0.33</v>
      </c>
      <c r="G29" s="46">
        <f t="shared" si="14"/>
        <v>0.33</v>
      </c>
      <c r="H29" s="46">
        <f t="shared" si="14"/>
        <v>0.33</v>
      </c>
      <c r="I29" s="46">
        <f t="shared" si="14"/>
        <v>0.33</v>
      </c>
      <c r="J29" s="46">
        <f t="shared" si="14"/>
        <v>0.33</v>
      </c>
      <c r="K29" s="46">
        <f t="shared" si="14"/>
        <v>0.33</v>
      </c>
      <c r="L29" s="46">
        <f t="shared" si="14"/>
        <v>0.33</v>
      </c>
    </row>
    <row r="30" spans="1:12" x14ac:dyDescent="0.35">
      <c r="A30" s="1" t="s">
        <v>109</v>
      </c>
      <c r="B30" s="38"/>
      <c r="C30" s="43">
        <f>C28*C29</f>
        <v>-1039.5</v>
      </c>
      <c r="D30" s="43">
        <f t="shared" ref="D30:L30" si="15">D28*D29</f>
        <v>-906.18000000000006</v>
      </c>
      <c r="E30" s="43">
        <f t="shared" si="15"/>
        <v>-770.19359999999949</v>
      </c>
      <c r="F30" s="43">
        <f t="shared" si="15"/>
        <v>-631.48747199999968</v>
      </c>
      <c r="G30" s="43">
        <f t="shared" si="15"/>
        <v>-490.00722143999877</v>
      </c>
      <c r="H30" s="43">
        <f t="shared" si="15"/>
        <v>-345.697365868801</v>
      </c>
      <c r="I30" s="43">
        <f t="shared" si="15"/>
        <v>-198.50131318617605</v>
      </c>
      <c r="J30" s="43">
        <f t="shared" si="15"/>
        <v>-48.361339449898374</v>
      </c>
      <c r="K30" s="43">
        <f t="shared" si="15"/>
        <v>104.78143376110347</v>
      </c>
      <c r="L30" s="43">
        <f t="shared" si="15"/>
        <v>260.98706243632677</v>
      </c>
    </row>
    <row r="31" spans="1:12" x14ac:dyDescent="0.35"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</row>
    <row r="32" spans="1:12" x14ac:dyDescent="0.35">
      <c r="B32" s="23"/>
      <c r="C32" s="92" t="s">
        <v>125</v>
      </c>
      <c r="D32" s="92"/>
      <c r="E32" s="92"/>
      <c r="F32" s="92"/>
      <c r="G32" s="92"/>
      <c r="H32" s="92"/>
      <c r="I32" s="92"/>
      <c r="J32" s="92"/>
      <c r="K32" s="92"/>
      <c r="L32" s="92"/>
    </row>
    <row r="33" spans="1:12" x14ac:dyDescent="0.35">
      <c r="B33" s="23"/>
      <c r="C33" s="41" t="s">
        <v>95</v>
      </c>
      <c r="D33" s="41" t="s">
        <v>96</v>
      </c>
      <c r="E33" s="41" t="s">
        <v>97</v>
      </c>
      <c r="F33" s="41" t="s">
        <v>98</v>
      </c>
      <c r="G33" s="41" t="s">
        <v>99</v>
      </c>
      <c r="H33" s="41" t="s">
        <v>100</v>
      </c>
      <c r="I33" s="41" t="s">
        <v>101</v>
      </c>
      <c r="J33" s="41" t="s">
        <v>102</v>
      </c>
      <c r="K33" s="41" t="s">
        <v>103</v>
      </c>
      <c r="L33" s="41" t="s">
        <v>104</v>
      </c>
    </row>
    <row r="34" spans="1:12" x14ac:dyDescent="0.35">
      <c r="A34" t="s">
        <v>94</v>
      </c>
      <c r="B34" s="23"/>
      <c r="C34" s="44">
        <f>C20</f>
        <v>-3150</v>
      </c>
      <c r="D34" s="44">
        <f t="shared" ref="D34:L34" si="16">D20</f>
        <v>-2746</v>
      </c>
      <c r="E34" s="44">
        <f t="shared" si="16"/>
        <v>-2333.9199999999983</v>
      </c>
      <c r="F34" s="44">
        <f t="shared" si="16"/>
        <v>-1913.5983999999989</v>
      </c>
      <c r="G34" s="44">
        <f t="shared" si="16"/>
        <v>-1484.8703679999962</v>
      </c>
      <c r="H34" s="44">
        <f t="shared" si="16"/>
        <v>-1047.567775360003</v>
      </c>
      <c r="I34" s="44">
        <f t="shared" si="16"/>
        <v>-601.51913086720015</v>
      </c>
      <c r="J34" s="44">
        <f t="shared" si="16"/>
        <v>-146.54951348454051</v>
      </c>
      <c r="K34" s="44">
        <f t="shared" si="16"/>
        <v>317.5194962457681</v>
      </c>
      <c r="L34" s="44">
        <f t="shared" si="16"/>
        <v>790.8698861706871</v>
      </c>
    </row>
    <row r="35" spans="1:12" x14ac:dyDescent="0.35">
      <c r="A35" t="s">
        <v>109</v>
      </c>
      <c r="B35" s="23"/>
      <c r="C35" s="44">
        <f t="shared" ref="C35:L35" si="17">(C30)*-1</f>
        <v>1039.5</v>
      </c>
      <c r="D35" s="44">
        <f t="shared" si="17"/>
        <v>906.18000000000006</v>
      </c>
      <c r="E35" s="44">
        <f t="shared" si="17"/>
        <v>770.19359999999949</v>
      </c>
      <c r="F35" s="44">
        <f t="shared" si="17"/>
        <v>631.48747199999968</v>
      </c>
      <c r="G35" s="44">
        <f t="shared" si="17"/>
        <v>490.00722143999877</v>
      </c>
      <c r="H35" s="44">
        <f t="shared" si="17"/>
        <v>345.697365868801</v>
      </c>
      <c r="I35" s="44">
        <f t="shared" si="17"/>
        <v>198.50131318617605</v>
      </c>
      <c r="J35" s="44">
        <f t="shared" si="17"/>
        <v>48.361339449898374</v>
      </c>
      <c r="K35" s="44">
        <f t="shared" si="17"/>
        <v>-104.78143376110347</v>
      </c>
      <c r="L35" s="44">
        <f t="shared" si="17"/>
        <v>-260.98706243632677</v>
      </c>
    </row>
    <row r="36" spans="1:12" x14ac:dyDescent="0.35">
      <c r="A36" s="1" t="s">
        <v>110</v>
      </c>
      <c r="B36" s="23"/>
      <c r="C36" s="43">
        <f>C34+C35</f>
        <v>-2110.5</v>
      </c>
      <c r="D36" s="43">
        <f t="shared" ref="D36:L36" si="18">D34+D35</f>
        <v>-1839.82</v>
      </c>
      <c r="E36" s="43">
        <f t="shared" si="18"/>
        <v>-1563.7263999999986</v>
      </c>
      <c r="F36" s="43">
        <f t="shared" si="18"/>
        <v>-1282.1109279999991</v>
      </c>
      <c r="G36" s="43">
        <f t="shared" si="18"/>
        <v>-994.8631465599974</v>
      </c>
      <c r="H36" s="43">
        <f t="shared" si="18"/>
        <v>-701.87040949120205</v>
      </c>
      <c r="I36" s="43">
        <f t="shared" si="18"/>
        <v>-403.0178176810241</v>
      </c>
      <c r="J36" s="43">
        <f t="shared" si="18"/>
        <v>-98.188174034642145</v>
      </c>
      <c r="K36" s="43">
        <f t="shared" si="18"/>
        <v>212.73806248466462</v>
      </c>
      <c r="L36" s="43">
        <f t="shared" si="18"/>
        <v>529.88282373436027</v>
      </c>
    </row>
    <row r="37" spans="1:12" x14ac:dyDescent="0.35">
      <c r="B37" s="23"/>
      <c r="C37" s="23" t="s">
        <v>105</v>
      </c>
      <c r="D37" s="23"/>
      <c r="E37" s="23"/>
      <c r="F37" s="23"/>
      <c r="G37" s="23"/>
      <c r="H37" s="23"/>
      <c r="I37" s="23"/>
      <c r="J37" s="23"/>
      <c r="K37" s="23"/>
      <c r="L37" s="23"/>
    </row>
    <row r="38" spans="1:12" x14ac:dyDescent="0.35">
      <c r="B38" s="23"/>
      <c r="C38" s="92" t="s">
        <v>124</v>
      </c>
      <c r="D38" s="92"/>
      <c r="E38" s="92"/>
      <c r="F38" s="92"/>
      <c r="G38" s="92"/>
      <c r="H38" s="92"/>
      <c r="I38" s="92"/>
      <c r="J38" s="92"/>
      <c r="K38" s="92"/>
      <c r="L38" s="92"/>
    </row>
    <row r="39" spans="1:12" x14ac:dyDescent="0.35">
      <c r="B39" s="23"/>
      <c r="C39" s="41" t="s">
        <v>95</v>
      </c>
      <c r="D39" s="41" t="s">
        <v>96</v>
      </c>
      <c r="E39" s="41" t="s">
        <v>97</v>
      </c>
      <c r="F39" s="41" t="s">
        <v>98</v>
      </c>
      <c r="G39" s="41" t="s">
        <v>99</v>
      </c>
      <c r="H39" s="41" t="s">
        <v>100</v>
      </c>
      <c r="I39" s="41" t="s">
        <v>101</v>
      </c>
      <c r="J39" s="41" t="s">
        <v>102</v>
      </c>
      <c r="K39" s="41" t="s">
        <v>103</v>
      </c>
      <c r="L39" s="41" t="s">
        <v>104</v>
      </c>
    </row>
    <row r="40" spans="1:12" x14ac:dyDescent="0.35">
      <c r="A40" t="s">
        <v>111</v>
      </c>
      <c r="B40" s="31">
        <f>'First year inputs'!B24</f>
        <v>0.02</v>
      </c>
      <c r="C40" s="37">
        <f>$B$40</f>
        <v>0.02</v>
      </c>
      <c r="D40" s="37">
        <f t="shared" ref="D40:L40" si="19">$B$40</f>
        <v>0.02</v>
      </c>
      <c r="E40" s="37">
        <f t="shared" si="19"/>
        <v>0.02</v>
      </c>
      <c r="F40" s="37">
        <f t="shared" si="19"/>
        <v>0.02</v>
      </c>
      <c r="G40" s="37">
        <f t="shared" si="19"/>
        <v>0.02</v>
      </c>
      <c r="H40" s="37">
        <f t="shared" si="19"/>
        <v>0.02</v>
      </c>
      <c r="I40" s="37">
        <f t="shared" si="19"/>
        <v>0.02</v>
      </c>
      <c r="J40" s="37">
        <f t="shared" si="19"/>
        <v>0.02</v>
      </c>
      <c r="K40" s="37">
        <f t="shared" si="19"/>
        <v>0.02</v>
      </c>
      <c r="L40" s="37">
        <f t="shared" si="19"/>
        <v>0.02</v>
      </c>
    </row>
    <row r="41" spans="1:12" x14ac:dyDescent="0.35">
      <c r="A41" t="s">
        <v>112</v>
      </c>
      <c r="B41" s="38"/>
      <c r="C41" s="39">
        <f>'First year inputs'!F3</f>
        <v>1500000</v>
      </c>
      <c r="D41" s="39">
        <f>C42</f>
        <v>1530000</v>
      </c>
      <c r="E41" s="39">
        <f t="shared" ref="E41:L41" si="20">D42</f>
        <v>1560600</v>
      </c>
      <c r="F41" s="39">
        <f t="shared" si="20"/>
        <v>1591812</v>
      </c>
      <c r="G41" s="39">
        <f t="shared" si="20"/>
        <v>1623648.24</v>
      </c>
      <c r="H41" s="39">
        <f t="shared" si="20"/>
        <v>1656121.2047999999</v>
      </c>
      <c r="I41" s="39">
        <f t="shared" si="20"/>
        <v>1689243.6288959999</v>
      </c>
      <c r="J41" s="39">
        <f t="shared" si="20"/>
        <v>1723028.50147392</v>
      </c>
      <c r="K41" s="39">
        <f t="shared" si="20"/>
        <v>1757489.0715033985</v>
      </c>
      <c r="L41" s="39">
        <f t="shared" si="20"/>
        <v>1792638.8529334664</v>
      </c>
    </row>
    <row r="42" spans="1:12" x14ac:dyDescent="0.35">
      <c r="A42" t="s">
        <v>113</v>
      </c>
      <c r="B42" s="38"/>
      <c r="C42" s="39">
        <f>C41*(1+C40)</f>
        <v>1530000</v>
      </c>
      <c r="D42" s="39">
        <f t="shared" ref="D42:L42" si="21">D41*(1+D40)</f>
        <v>1560600</v>
      </c>
      <c r="E42" s="39">
        <f t="shared" si="21"/>
        <v>1591812</v>
      </c>
      <c r="F42" s="39">
        <f t="shared" si="21"/>
        <v>1623648.24</v>
      </c>
      <c r="G42" s="39">
        <f t="shared" si="21"/>
        <v>1656121.2047999999</v>
      </c>
      <c r="H42" s="39">
        <f t="shared" si="21"/>
        <v>1689243.6288959999</v>
      </c>
      <c r="I42" s="39">
        <f t="shared" si="21"/>
        <v>1723028.50147392</v>
      </c>
      <c r="J42" s="39">
        <f t="shared" si="21"/>
        <v>1757489.0715033985</v>
      </c>
      <c r="K42" s="39">
        <f t="shared" si="21"/>
        <v>1792638.8529334664</v>
      </c>
      <c r="L42" s="39">
        <f t="shared" si="21"/>
        <v>1828491.6299921358</v>
      </c>
    </row>
    <row r="43" spans="1:12" x14ac:dyDescent="0.35">
      <c r="A43" s="1" t="s">
        <v>114</v>
      </c>
      <c r="B43" s="38"/>
      <c r="C43" s="40">
        <f>C42-C41</f>
        <v>30000</v>
      </c>
      <c r="D43" s="40">
        <f t="shared" ref="D43:L43" si="22">D42-D41</f>
        <v>30600</v>
      </c>
      <c r="E43" s="40">
        <f t="shared" si="22"/>
        <v>31212</v>
      </c>
      <c r="F43" s="40">
        <f t="shared" si="22"/>
        <v>31836.239999999991</v>
      </c>
      <c r="G43" s="40">
        <f t="shared" si="22"/>
        <v>32472.964799999958</v>
      </c>
      <c r="H43" s="40">
        <f t="shared" si="22"/>
        <v>33122.424095999915</v>
      </c>
      <c r="I43" s="40">
        <f t="shared" si="22"/>
        <v>33784.87257792009</v>
      </c>
      <c r="J43" s="40">
        <f t="shared" si="22"/>
        <v>34460.57002947852</v>
      </c>
      <c r="K43" s="40">
        <f t="shared" si="22"/>
        <v>35149.78143006796</v>
      </c>
      <c r="L43" s="40">
        <f t="shared" si="22"/>
        <v>35852.777058669366</v>
      </c>
    </row>
    <row r="44" spans="1:12" x14ac:dyDescent="0.35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</row>
    <row r="45" spans="1:12" x14ac:dyDescent="0.35">
      <c r="B45" s="23"/>
      <c r="C45" s="92" t="s">
        <v>123</v>
      </c>
      <c r="D45" s="92"/>
      <c r="E45" s="92"/>
      <c r="F45" s="92"/>
      <c r="G45" s="92"/>
      <c r="H45" s="92"/>
      <c r="I45" s="92"/>
      <c r="J45" s="92"/>
      <c r="K45" s="92"/>
      <c r="L45" s="92"/>
    </row>
    <row r="46" spans="1:12" x14ac:dyDescent="0.35">
      <c r="B46" s="23"/>
      <c r="C46" s="41" t="s">
        <v>95</v>
      </c>
      <c r="D46" s="41" t="s">
        <v>96</v>
      </c>
      <c r="E46" s="41" t="s">
        <v>97</v>
      </c>
      <c r="F46" s="41" t="s">
        <v>98</v>
      </c>
      <c r="G46" s="41" t="s">
        <v>99</v>
      </c>
      <c r="H46" s="41" t="s">
        <v>100</v>
      </c>
      <c r="I46" s="41" t="s">
        <v>101</v>
      </c>
      <c r="J46" s="41" t="s">
        <v>102</v>
      </c>
      <c r="K46" s="41" t="s">
        <v>103</v>
      </c>
      <c r="L46" s="41" t="s">
        <v>104</v>
      </c>
    </row>
    <row r="47" spans="1:12" x14ac:dyDescent="0.35">
      <c r="A47" t="s">
        <v>94</v>
      </c>
      <c r="B47" s="23"/>
      <c r="C47" s="44">
        <f>C34</f>
        <v>-3150</v>
      </c>
      <c r="D47" s="44">
        <f t="shared" ref="D47:L47" si="23">D34</f>
        <v>-2746</v>
      </c>
      <c r="E47" s="44">
        <f t="shared" si="23"/>
        <v>-2333.9199999999983</v>
      </c>
      <c r="F47" s="44">
        <f t="shared" si="23"/>
        <v>-1913.5983999999989</v>
      </c>
      <c r="G47" s="44">
        <f t="shared" si="23"/>
        <v>-1484.8703679999962</v>
      </c>
      <c r="H47" s="44">
        <f t="shared" si="23"/>
        <v>-1047.567775360003</v>
      </c>
      <c r="I47" s="44">
        <f t="shared" si="23"/>
        <v>-601.51913086720015</v>
      </c>
      <c r="J47" s="44">
        <f t="shared" si="23"/>
        <v>-146.54951348454051</v>
      </c>
      <c r="K47" s="44">
        <f t="shared" si="23"/>
        <v>317.5194962457681</v>
      </c>
      <c r="L47" s="44">
        <f t="shared" si="23"/>
        <v>790.8698861706871</v>
      </c>
    </row>
    <row r="48" spans="1:12" x14ac:dyDescent="0.35">
      <c r="A48" t="s">
        <v>109</v>
      </c>
      <c r="B48" s="23"/>
      <c r="C48" s="44">
        <f>C35</f>
        <v>1039.5</v>
      </c>
      <c r="D48" s="44">
        <f t="shared" ref="D48:L48" si="24">D35</f>
        <v>906.18000000000006</v>
      </c>
      <c r="E48" s="44">
        <f t="shared" si="24"/>
        <v>770.19359999999949</v>
      </c>
      <c r="F48" s="44">
        <f t="shared" si="24"/>
        <v>631.48747199999968</v>
      </c>
      <c r="G48" s="44">
        <f t="shared" si="24"/>
        <v>490.00722143999877</v>
      </c>
      <c r="H48" s="44">
        <f t="shared" si="24"/>
        <v>345.697365868801</v>
      </c>
      <c r="I48" s="44">
        <f t="shared" si="24"/>
        <v>198.50131318617605</v>
      </c>
      <c r="J48" s="44">
        <f t="shared" si="24"/>
        <v>48.361339449898374</v>
      </c>
      <c r="K48" s="44">
        <f t="shared" si="24"/>
        <v>-104.78143376110347</v>
      </c>
      <c r="L48" s="44">
        <f t="shared" si="24"/>
        <v>-260.98706243632677</v>
      </c>
    </row>
    <row r="49" spans="1:12" x14ac:dyDescent="0.35">
      <c r="A49" t="s">
        <v>151</v>
      </c>
      <c r="B49" s="23"/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</row>
    <row r="50" spans="1:12" x14ac:dyDescent="0.35">
      <c r="A50" t="s">
        <v>56</v>
      </c>
      <c r="B50" s="23"/>
      <c r="C50" s="39">
        <f>C43</f>
        <v>30000</v>
      </c>
      <c r="D50" s="39">
        <f t="shared" ref="D50:L50" si="25">D43</f>
        <v>30600</v>
      </c>
      <c r="E50" s="39">
        <f t="shared" si="25"/>
        <v>31212</v>
      </c>
      <c r="F50" s="39">
        <f t="shared" si="25"/>
        <v>31836.239999999991</v>
      </c>
      <c r="G50" s="39">
        <f t="shared" si="25"/>
        <v>32472.964799999958</v>
      </c>
      <c r="H50" s="39">
        <f t="shared" si="25"/>
        <v>33122.424095999915</v>
      </c>
      <c r="I50" s="39">
        <f t="shared" si="25"/>
        <v>33784.87257792009</v>
      </c>
      <c r="J50" s="39">
        <f t="shared" si="25"/>
        <v>34460.57002947852</v>
      </c>
      <c r="K50" s="39">
        <f t="shared" si="25"/>
        <v>35149.78143006796</v>
      </c>
      <c r="L50" s="39">
        <f t="shared" si="25"/>
        <v>35852.777058669366</v>
      </c>
    </row>
    <row r="51" spans="1:12" x14ac:dyDescent="0.35">
      <c r="A51" s="1" t="s">
        <v>115</v>
      </c>
      <c r="B51" s="23"/>
      <c r="C51" s="44">
        <f>C47+C48+C49+C50</f>
        <v>27889.5</v>
      </c>
      <c r="D51" s="44">
        <f t="shared" ref="D51:L51" si="26">D47+D48+D49+D50</f>
        <v>28760.18</v>
      </c>
      <c r="E51" s="44">
        <f t="shared" si="26"/>
        <v>29648.2736</v>
      </c>
      <c r="F51" s="44">
        <f t="shared" si="26"/>
        <v>30554.129071999992</v>
      </c>
      <c r="G51" s="44">
        <f t="shared" si="26"/>
        <v>31478.101653439961</v>
      </c>
      <c r="H51" s="44">
        <f t="shared" si="26"/>
        <v>32420.553686508712</v>
      </c>
      <c r="I51" s="44">
        <f t="shared" si="26"/>
        <v>33381.854760239068</v>
      </c>
      <c r="J51" s="44">
        <f t="shared" si="26"/>
        <v>34362.381855443877</v>
      </c>
      <c r="K51" s="44">
        <f t="shared" si="26"/>
        <v>35362.519492552623</v>
      </c>
      <c r="L51" s="44">
        <f t="shared" si="26"/>
        <v>36382.659882403728</v>
      </c>
    </row>
    <row r="52" spans="1:12" x14ac:dyDescent="0.35">
      <c r="A52" t="s">
        <v>116</v>
      </c>
      <c r="B52" s="23"/>
      <c r="C52" s="39">
        <f>'First year inputs'!F10</f>
        <v>1033000</v>
      </c>
      <c r="D52" s="36"/>
      <c r="E52" s="36"/>
      <c r="F52" s="36"/>
      <c r="G52" s="36"/>
      <c r="H52" s="36"/>
      <c r="I52" s="36"/>
      <c r="J52" s="36"/>
      <c r="K52" s="36"/>
      <c r="L52" s="36"/>
    </row>
    <row r="53" spans="1:12" x14ac:dyDescent="0.35">
      <c r="A53" t="s">
        <v>22</v>
      </c>
      <c r="B53" s="23"/>
      <c r="C53" s="39">
        <f>'First year inputs'!F11</f>
        <v>1000</v>
      </c>
      <c r="D53" s="36"/>
      <c r="E53" s="36"/>
      <c r="F53" s="36"/>
      <c r="G53" s="36"/>
      <c r="H53" s="36"/>
      <c r="I53" s="36"/>
      <c r="J53" s="36"/>
      <c r="K53" s="36"/>
      <c r="L53" s="36"/>
    </row>
    <row r="54" spans="1:12" x14ac:dyDescent="0.35">
      <c r="A54" t="s">
        <v>117</v>
      </c>
      <c r="B54" s="23"/>
      <c r="C54" s="39">
        <f>C52+C53</f>
        <v>1034000</v>
      </c>
      <c r="D54" s="36"/>
      <c r="E54" s="36"/>
      <c r="F54" s="36"/>
      <c r="G54" s="36"/>
      <c r="H54" s="36"/>
      <c r="I54" s="36"/>
      <c r="J54" s="36"/>
      <c r="K54" s="36"/>
      <c r="L54" s="36"/>
    </row>
    <row r="55" spans="1:12" x14ac:dyDescent="0.35">
      <c r="A55" s="1" t="s">
        <v>118</v>
      </c>
      <c r="B55" s="23"/>
      <c r="C55" s="47">
        <f>C51/C54</f>
        <v>2.6972437137330753E-2</v>
      </c>
      <c r="D55" s="47">
        <f>D51/$C$54</f>
        <v>2.7814487427466152E-2</v>
      </c>
      <c r="E55" s="47">
        <f t="shared" ref="E55:L55" si="27">E51/$C$54</f>
        <v>2.8673378723404256E-2</v>
      </c>
      <c r="F55" s="47">
        <f t="shared" si="27"/>
        <v>2.9549447845261114E-2</v>
      </c>
      <c r="G55" s="47">
        <f t="shared" si="27"/>
        <v>3.0443038349555088E-2</v>
      </c>
      <c r="H55" s="47">
        <f t="shared" si="27"/>
        <v>3.1354500663934928E-2</v>
      </c>
      <c r="I55" s="47">
        <f t="shared" si="27"/>
        <v>3.2284192224602583E-2</v>
      </c>
      <c r="J55" s="47">
        <f t="shared" si="27"/>
        <v>3.3232477616483437E-2</v>
      </c>
      <c r="K55" s="47">
        <f t="shared" si="27"/>
        <v>3.4199728716201763E-2</v>
      </c>
      <c r="L55" s="47">
        <f t="shared" si="27"/>
        <v>3.5186324837914632E-2</v>
      </c>
    </row>
    <row r="56" spans="1:12" x14ac:dyDescent="0.35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</row>
    <row r="57" spans="1:12" x14ac:dyDescent="0.35">
      <c r="B57" s="23"/>
      <c r="C57" s="92" t="s">
        <v>122</v>
      </c>
      <c r="D57" s="92"/>
      <c r="E57" s="92"/>
      <c r="F57" s="92"/>
      <c r="G57" s="92"/>
      <c r="H57" s="92"/>
      <c r="I57" s="92"/>
      <c r="J57" s="92"/>
      <c r="K57" s="92"/>
      <c r="L57" s="92"/>
    </row>
    <row r="58" spans="1:12" x14ac:dyDescent="0.35">
      <c r="B58" s="23"/>
      <c r="C58" s="41" t="s">
        <v>95</v>
      </c>
      <c r="D58" s="41" t="s">
        <v>96</v>
      </c>
      <c r="E58" s="41" t="s">
        <v>97</v>
      </c>
      <c r="F58" s="41" t="s">
        <v>98</v>
      </c>
      <c r="G58" s="41" t="s">
        <v>99</v>
      </c>
      <c r="H58" s="41" t="s">
        <v>100</v>
      </c>
      <c r="I58" s="41" t="s">
        <v>101</v>
      </c>
      <c r="J58" s="41" t="s">
        <v>102</v>
      </c>
      <c r="K58" s="41" t="s">
        <v>103</v>
      </c>
      <c r="L58" s="41" t="s">
        <v>104</v>
      </c>
    </row>
    <row r="59" spans="1:12" x14ac:dyDescent="0.35">
      <c r="A59" t="s">
        <v>119</v>
      </c>
      <c r="B59" s="23"/>
      <c r="C59" s="44">
        <f>C41</f>
        <v>1500000</v>
      </c>
      <c r="D59" s="44">
        <f t="shared" ref="D59:L59" si="28">D41</f>
        <v>1530000</v>
      </c>
      <c r="E59" s="44">
        <f t="shared" si="28"/>
        <v>1560600</v>
      </c>
      <c r="F59" s="44">
        <f t="shared" si="28"/>
        <v>1591812</v>
      </c>
      <c r="G59" s="44">
        <f t="shared" si="28"/>
        <v>1623648.24</v>
      </c>
      <c r="H59" s="44">
        <f t="shared" si="28"/>
        <v>1656121.2047999999</v>
      </c>
      <c r="I59" s="44">
        <f t="shared" si="28"/>
        <v>1689243.6288959999</v>
      </c>
      <c r="J59" s="44">
        <f t="shared" si="28"/>
        <v>1723028.50147392</v>
      </c>
      <c r="K59" s="44">
        <f t="shared" si="28"/>
        <v>1757489.0715033985</v>
      </c>
      <c r="L59" s="44">
        <f t="shared" si="28"/>
        <v>1792638.8529334664</v>
      </c>
    </row>
    <row r="60" spans="1:12" x14ac:dyDescent="0.35">
      <c r="A60" t="s">
        <v>152</v>
      </c>
      <c r="B60" s="23"/>
      <c r="C60" s="44">
        <f>'First year inputs'!$F$4</f>
        <v>467000</v>
      </c>
      <c r="D60" s="44">
        <f>'First year inputs'!$F$4</f>
        <v>467000</v>
      </c>
      <c r="E60" s="44">
        <f>'First year inputs'!$F$4</f>
        <v>467000</v>
      </c>
      <c r="F60" s="44">
        <f>'First year inputs'!$F$4</f>
        <v>467000</v>
      </c>
      <c r="G60" s="44">
        <f>'First year inputs'!$F$4</f>
        <v>467000</v>
      </c>
      <c r="H60" s="44">
        <f>'First year inputs'!$F$4</f>
        <v>467000</v>
      </c>
      <c r="I60" s="44">
        <f>'First year inputs'!$F$4</f>
        <v>467000</v>
      </c>
      <c r="J60" s="44">
        <f>'First year inputs'!$F$4</f>
        <v>467000</v>
      </c>
      <c r="K60" s="44">
        <f>'First year inputs'!$F$4</f>
        <v>467000</v>
      </c>
      <c r="L60" s="44">
        <f>'First year inputs'!$F$4</f>
        <v>467000</v>
      </c>
    </row>
    <row r="61" spans="1:12" x14ac:dyDescent="0.35">
      <c r="A61" t="s">
        <v>120</v>
      </c>
      <c r="B61" s="23"/>
      <c r="C61" s="39">
        <f>C59-C60</f>
        <v>1033000</v>
      </c>
      <c r="D61" s="39">
        <f t="shared" ref="D61:L61" si="29">D59-D60</f>
        <v>1063000</v>
      </c>
      <c r="E61" s="39">
        <f t="shared" si="29"/>
        <v>1093600</v>
      </c>
      <c r="F61" s="39">
        <f t="shared" si="29"/>
        <v>1124812</v>
      </c>
      <c r="G61" s="39">
        <f t="shared" si="29"/>
        <v>1156648.24</v>
      </c>
      <c r="H61" s="39">
        <f t="shared" si="29"/>
        <v>1189121.2047999999</v>
      </c>
      <c r="I61" s="39">
        <f t="shared" si="29"/>
        <v>1222243.6288959999</v>
      </c>
      <c r="J61" s="39">
        <f t="shared" si="29"/>
        <v>1256028.50147392</v>
      </c>
      <c r="K61" s="39">
        <f t="shared" si="29"/>
        <v>1290489.0715033985</v>
      </c>
      <c r="L61" s="39">
        <f t="shared" si="29"/>
        <v>1325638.8529334664</v>
      </c>
    </row>
    <row r="62" spans="1:12" x14ac:dyDescent="0.35">
      <c r="A62" s="1" t="s">
        <v>121</v>
      </c>
      <c r="B62" s="23"/>
      <c r="C62" s="47">
        <f>C51/C61</f>
        <v>2.6998547918683447E-2</v>
      </c>
      <c r="D62" s="47">
        <f t="shared" ref="D62:L62" si="30">D51/D61</f>
        <v>2.7055672624647226E-2</v>
      </c>
      <c r="E62" s="47">
        <f t="shared" si="30"/>
        <v>2.7110711046086321E-2</v>
      </c>
      <c r="F62" s="47">
        <f t="shared" si="30"/>
        <v>2.716376520876377E-2</v>
      </c>
      <c r="G62" s="47">
        <f t="shared" si="30"/>
        <v>2.721493066331036E-2</v>
      </c>
      <c r="H62" s="47">
        <f t="shared" si="30"/>
        <v>2.7264296991458978E-2</v>
      </c>
      <c r="I62" s="47">
        <f t="shared" si="30"/>
        <v>2.7311948265495531E-2</v>
      </c>
      <c r="J62" s="47">
        <f t="shared" si="30"/>
        <v>2.7357963465893035E-2</v>
      </c>
      <c r="K62" s="47">
        <f t="shared" si="30"/>
        <v>2.7402416861504974E-2</v>
      </c>
      <c r="L62" s="47">
        <f t="shared" si="30"/>
        <v>2.744537835617418E-2</v>
      </c>
    </row>
    <row r="63" spans="1:12" x14ac:dyDescent="0.35">
      <c r="B63" s="23"/>
      <c r="C63" s="48"/>
      <c r="D63" s="23"/>
      <c r="E63" s="23"/>
      <c r="F63" s="23"/>
      <c r="G63" s="23"/>
      <c r="H63" s="23"/>
      <c r="I63" s="23"/>
      <c r="J63" s="23"/>
      <c r="K63" s="23"/>
      <c r="L63" s="23"/>
    </row>
    <row r="64" spans="1:12" x14ac:dyDescent="0.35">
      <c r="B64" s="23"/>
      <c r="C64" s="92" t="s">
        <v>130</v>
      </c>
      <c r="D64" s="92"/>
      <c r="E64" s="92"/>
      <c r="F64" s="92"/>
      <c r="G64" s="92"/>
      <c r="H64" s="92"/>
      <c r="I64" s="92"/>
      <c r="J64" s="92"/>
      <c r="K64" s="92"/>
      <c r="L64" s="92"/>
    </row>
    <row r="65" spans="1:12" x14ac:dyDescent="0.35">
      <c r="B65" s="23"/>
      <c r="C65" s="41" t="s">
        <v>95</v>
      </c>
      <c r="D65" s="41" t="s">
        <v>96</v>
      </c>
      <c r="E65" s="41" t="s">
        <v>97</v>
      </c>
      <c r="F65" s="41" t="s">
        <v>98</v>
      </c>
      <c r="G65" s="41" t="s">
        <v>99</v>
      </c>
      <c r="H65" s="41" t="s">
        <v>100</v>
      </c>
      <c r="I65" s="41" t="s">
        <v>101</v>
      </c>
      <c r="J65" s="41" t="s">
        <v>102</v>
      </c>
      <c r="K65" s="41" t="s">
        <v>103</v>
      </c>
      <c r="L65" s="41" t="s">
        <v>104</v>
      </c>
    </row>
    <row r="66" spans="1:12" x14ac:dyDescent="0.35">
      <c r="A66" t="s">
        <v>1</v>
      </c>
      <c r="B66" s="38"/>
      <c r="C66" s="39">
        <f>'First year inputs'!$F$3</f>
        <v>1500000</v>
      </c>
      <c r="D66" s="39">
        <f>'First year inputs'!$F$3</f>
        <v>1500000</v>
      </c>
      <c r="E66" s="39">
        <f>'First year inputs'!$F$3</f>
        <v>1500000</v>
      </c>
      <c r="F66" s="39">
        <f>'First year inputs'!$F$3</f>
        <v>1500000</v>
      </c>
      <c r="G66" s="39">
        <f>'First year inputs'!$F$3</f>
        <v>1500000</v>
      </c>
      <c r="H66" s="39">
        <f>'First year inputs'!$F$3</f>
        <v>1500000</v>
      </c>
      <c r="I66" s="39">
        <f>'First year inputs'!$F$3</f>
        <v>1500000</v>
      </c>
      <c r="J66" s="39">
        <f>'First year inputs'!$F$3</f>
        <v>1500000</v>
      </c>
      <c r="K66" s="39">
        <f>'First year inputs'!$F$3</f>
        <v>1500000</v>
      </c>
      <c r="L66" s="39">
        <f>'First year inputs'!$F$3</f>
        <v>1500000</v>
      </c>
    </row>
    <row r="67" spans="1:12" x14ac:dyDescent="0.35">
      <c r="A67" t="s">
        <v>137</v>
      </c>
      <c r="B67" s="35">
        <v>0.05</v>
      </c>
      <c r="C67" s="39">
        <f>C71*$B$67</f>
        <v>76500</v>
      </c>
      <c r="D67" s="39">
        <f t="shared" ref="D67:L67" si="31">D71*$B$67</f>
        <v>78030</v>
      </c>
      <c r="E67" s="39">
        <f t="shared" si="31"/>
        <v>79590.600000000006</v>
      </c>
      <c r="F67" s="39">
        <f t="shared" si="31"/>
        <v>81182.412000000011</v>
      </c>
      <c r="G67" s="39">
        <f t="shared" si="31"/>
        <v>82806.060240000006</v>
      </c>
      <c r="H67" s="39">
        <f t="shared" si="31"/>
        <v>84462.181444799993</v>
      </c>
      <c r="I67" s="39">
        <f t="shared" si="31"/>
        <v>86151.425073696009</v>
      </c>
      <c r="J67" s="39">
        <f t="shared" si="31"/>
        <v>87874.45357516993</v>
      </c>
      <c r="K67" s="39">
        <f t="shared" si="31"/>
        <v>89631.942646673328</v>
      </c>
      <c r="L67" s="39">
        <f t="shared" si="31"/>
        <v>91424.581499606793</v>
      </c>
    </row>
    <row r="68" spans="1:12" x14ac:dyDescent="0.35">
      <c r="A68" t="s">
        <v>131</v>
      </c>
      <c r="B68" s="33"/>
      <c r="C68" s="39">
        <f>C27</f>
        <v>0</v>
      </c>
      <c r="D68" s="39">
        <f>C68*2</f>
        <v>0</v>
      </c>
      <c r="E68" s="39">
        <f>D68+$C$68</f>
        <v>0</v>
      </c>
      <c r="F68" s="39">
        <f>E68+$C$68</f>
        <v>0</v>
      </c>
      <c r="G68" s="39">
        <f t="shared" ref="G68:L68" si="32">F68+$C$68</f>
        <v>0</v>
      </c>
      <c r="H68" s="39">
        <f t="shared" si="32"/>
        <v>0</v>
      </c>
      <c r="I68" s="39">
        <f t="shared" si="32"/>
        <v>0</v>
      </c>
      <c r="J68" s="39">
        <f t="shared" si="32"/>
        <v>0</v>
      </c>
      <c r="K68" s="39">
        <f t="shared" si="32"/>
        <v>0</v>
      </c>
      <c r="L68" s="39">
        <f t="shared" si="32"/>
        <v>0</v>
      </c>
    </row>
    <row r="69" spans="1:12" x14ac:dyDescent="0.35">
      <c r="A69" t="s">
        <v>132</v>
      </c>
      <c r="B69" s="33"/>
      <c r="C69" s="39">
        <f>C66+C67-C68</f>
        <v>1576500</v>
      </c>
      <c r="D69" s="39">
        <f t="shared" ref="D69:L69" si="33">D66+D67-D68</f>
        <v>1578030</v>
      </c>
      <c r="E69" s="39">
        <f t="shared" si="33"/>
        <v>1579590.6</v>
      </c>
      <c r="F69" s="39">
        <f t="shared" si="33"/>
        <v>1581182.412</v>
      </c>
      <c r="G69" s="39">
        <f t="shared" si="33"/>
        <v>1582806.06024</v>
      </c>
      <c r="H69" s="39">
        <f t="shared" si="33"/>
        <v>1584462.1814448</v>
      </c>
      <c r="I69" s="39">
        <f t="shared" si="33"/>
        <v>1586151.4250736961</v>
      </c>
      <c r="J69" s="39">
        <f t="shared" si="33"/>
        <v>1587874.4535751699</v>
      </c>
      <c r="K69" s="39">
        <f t="shared" si="33"/>
        <v>1589631.9426466734</v>
      </c>
      <c r="L69" s="39">
        <f t="shared" si="33"/>
        <v>1591424.5814996068</v>
      </c>
    </row>
    <row r="70" spans="1:12" x14ac:dyDescent="0.35">
      <c r="B70" s="33"/>
      <c r="C70" s="95" t="s">
        <v>138</v>
      </c>
      <c r="D70" s="96"/>
      <c r="E70" s="96"/>
      <c r="F70" s="96"/>
      <c r="G70" s="96"/>
      <c r="H70" s="96"/>
      <c r="I70" s="96"/>
      <c r="J70" s="96"/>
      <c r="K70" s="96"/>
      <c r="L70" s="97"/>
    </row>
    <row r="71" spans="1:12" x14ac:dyDescent="0.35">
      <c r="A71" t="s">
        <v>33</v>
      </c>
      <c r="B71" s="33" t="s">
        <v>105</v>
      </c>
      <c r="C71" s="39">
        <f>C66*(1+$B$40)</f>
        <v>1530000</v>
      </c>
      <c r="D71" s="39">
        <f>C71*(1+$B$40)</f>
        <v>1560600</v>
      </c>
      <c r="E71" s="39">
        <f t="shared" ref="E71:L71" si="34">D71*(1+$B$40)</f>
        <v>1591812</v>
      </c>
      <c r="F71" s="39">
        <f t="shared" si="34"/>
        <v>1623648.24</v>
      </c>
      <c r="G71" s="39">
        <f t="shared" si="34"/>
        <v>1656121.2047999999</v>
      </c>
      <c r="H71" s="39">
        <f t="shared" si="34"/>
        <v>1689243.6288959999</v>
      </c>
      <c r="I71" s="39">
        <f t="shared" si="34"/>
        <v>1723028.50147392</v>
      </c>
      <c r="J71" s="39">
        <f t="shared" si="34"/>
        <v>1757489.0715033985</v>
      </c>
      <c r="K71" s="39">
        <f t="shared" si="34"/>
        <v>1792638.8529334664</v>
      </c>
      <c r="L71" s="39">
        <f t="shared" si="34"/>
        <v>1828491.6299921358</v>
      </c>
    </row>
    <row r="72" spans="1:12" x14ac:dyDescent="0.35">
      <c r="A72" t="s">
        <v>133</v>
      </c>
      <c r="B72" s="33"/>
      <c r="C72" s="39">
        <f>C66+C67</f>
        <v>1576500</v>
      </c>
      <c r="D72" s="39">
        <f t="shared" ref="D72:L72" si="35">D66+D67</f>
        <v>1578030</v>
      </c>
      <c r="E72" s="39">
        <f t="shared" si="35"/>
        <v>1579590.6</v>
      </c>
      <c r="F72" s="39">
        <f t="shared" si="35"/>
        <v>1581182.412</v>
      </c>
      <c r="G72" s="39">
        <f t="shared" si="35"/>
        <v>1582806.06024</v>
      </c>
      <c r="H72" s="39">
        <f t="shared" si="35"/>
        <v>1584462.1814448</v>
      </c>
      <c r="I72" s="39">
        <f t="shared" si="35"/>
        <v>1586151.4250736961</v>
      </c>
      <c r="J72" s="39">
        <f t="shared" si="35"/>
        <v>1587874.4535751699</v>
      </c>
      <c r="K72" s="39">
        <f t="shared" si="35"/>
        <v>1589631.9426466734</v>
      </c>
      <c r="L72" s="39">
        <f t="shared" si="35"/>
        <v>1591424.5814996068</v>
      </c>
    </row>
    <row r="73" spans="1:12" x14ac:dyDescent="0.35">
      <c r="A73" t="s">
        <v>134</v>
      </c>
      <c r="B73" s="33"/>
      <c r="C73" s="44">
        <f>C71-C72</f>
        <v>-46500</v>
      </c>
      <c r="D73" s="44">
        <f t="shared" ref="D73:L73" si="36">D71-D72</f>
        <v>-17430</v>
      </c>
      <c r="E73" s="44">
        <f t="shared" si="36"/>
        <v>12221.399999999907</v>
      </c>
      <c r="F73" s="44">
        <f t="shared" si="36"/>
        <v>42465.82799999998</v>
      </c>
      <c r="G73" s="44">
        <f t="shared" si="36"/>
        <v>73315.144559999928</v>
      </c>
      <c r="H73" s="44">
        <f t="shared" si="36"/>
        <v>104781.44745119987</v>
      </c>
      <c r="I73" s="44">
        <f t="shared" si="36"/>
        <v>136877.07640022389</v>
      </c>
      <c r="J73" s="44">
        <f t="shared" si="36"/>
        <v>169614.61792822857</v>
      </c>
      <c r="K73" s="44">
        <f t="shared" si="36"/>
        <v>203006.91028679302</v>
      </c>
      <c r="L73" s="44">
        <f t="shared" si="36"/>
        <v>237067.04849252896</v>
      </c>
    </row>
    <row r="74" spans="1:12" x14ac:dyDescent="0.35">
      <c r="B74" s="33"/>
      <c r="C74" s="95" t="s">
        <v>143</v>
      </c>
      <c r="D74" s="96"/>
      <c r="E74" s="96"/>
      <c r="F74" s="96"/>
      <c r="G74" s="96"/>
      <c r="H74" s="96"/>
      <c r="I74" s="96"/>
      <c r="J74" s="96"/>
      <c r="K74" s="96"/>
      <c r="L74" s="97"/>
    </row>
    <row r="75" spans="1:12" x14ac:dyDescent="0.35">
      <c r="A75" t="s">
        <v>33</v>
      </c>
      <c r="B75" s="33"/>
      <c r="C75" s="39">
        <f>C71</f>
        <v>1530000</v>
      </c>
      <c r="D75" s="39">
        <f t="shared" ref="D75:L75" si="37">D71</f>
        <v>1560600</v>
      </c>
      <c r="E75" s="39">
        <f t="shared" si="37"/>
        <v>1591812</v>
      </c>
      <c r="F75" s="39">
        <f t="shared" si="37"/>
        <v>1623648.24</v>
      </c>
      <c r="G75" s="39">
        <f t="shared" si="37"/>
        <v>1656121.2047999999</v>
      </c>
      <c r="H75" s="39">
        <f t="shared" si="37"/>
        <v>1689243.6288959999</v>
      </c>
      <c r="I75" s="39">
        <f t="shared" si="37"/>
        <v>1723028.50147392</v>
      </c>
      <c r="J75" s="39">
        <f t="shared" si="37"/>
        <v>1757489.0715033985</v>
      </c>
      <c r="K75" s="39">
        <f t="shared" si="37"/>
        <v>1792638.8529334664</v>
      </c>
      <c r="L75" s="39">
        <f t="shared" si="37"/>
        <v>1828491.6299921358</v>
      </c>
    </row>
    <row r="76" spans="1:12" x14ac:dyDescent="0.35">
      <c r="A76" t="s">
        <v>135</v>
      </c>
      <c r="B76" s="33"/>
      <c r="C76" s="39">
        <f>C67</f>
        <v>76500</v>
      </c>
      <c r="D76" s="39">
        <f t="shared" ref="D76:L76" si="38">D67</f>
        <v>78030</v>
      </c>
      <c r="E76" s="39">
        <f t="shared" si="38"/>
        <v>79590.600000000006</v>
      </c>
      <c r="F76" s="39">
        <f t="shared" si="38"/>
        <v>81182.412000000011</v>
      </c>
      <c r="G76" s="39">
        <f t="shared" si="38"/>
        <v>82806.060240000006</v>
      </c>
      <c r="H76" s="39">
        <f t="shared" si="38"/>
        <v>84462.181444799993</v>
      </c>
      <c r="I76" s="39">
        <f t="shared" si="38"/>
        <v>86151.425073696009</v>
      </c>
      <c r="J76" s="39">
        <f t="shared" si="38"/>
        <v>87874.45357516993</v>
      </c>
      <c r="K76" s="39">
        <f t="shared" si="38"/>
        <v>89631.942646673328</v>
      </c>
      <c r="L76" s="39">
        <f t="shared" si="38"/>
        <v>91424.581499606793</v>
      </c>
    </row>
    <row r="77" spans="1:12" x14ac:dyDescent="0.35">
      <c r="A77" t="s">
        <v>153</v>
      </c>
      <c r="B77" s="33"/>
      <c r="C77" s="39">
        <f>'Mortgage schedule'!$C$3</f>
        <v>467000</v>
      </c>
      <c r="D77" s="39">
        <f>'Mortgage schedule'!$C$3</f>
        <v>467000</v>
      </c>
      <c r="E77" s="39">
        <f>'Mortgage schedule'!$C$3</f>
        <v>467000</v>
      </c>
      <c r="F77" s="39">
        <f>'Mortgage schedule'!$C$3</f>
        <v>467000</v>
      </c>
      <c r="G77" s="39">
        <f>'Mortgage schedule'!$C$3</f>
        <v>467000</v>
      </c>
      <c r="H77" s="39">
        <f>'Mortgage schedule'!$C$3</f>
        <v>467000</v>
      </c>
      <c r="I77" s="39">
        <f>'Mortgage schedule'!$C$3</f>
        <v>467000</v>
      </c>
      <c r="J77" s="39">
        <f>'Mortgage schedule'!$C$3</f>
        <v>467000</v>
      </c>
      <c r="K77" s="39">
        <f>'Mortgage schedule'!$C$3</f>
        <v>467000</v>
      </c>
      <c r="L77" s="39">
        <f>'Mortgage schedule'!$C$3</f>
        <v>467000</v>
      </c>
    </row>
    <row r="78" spans="1:12" x14ac:dyDescent="0.35">
      <c r="A78" s="1" t="s">
        <v>136</v>
      </c>
      <c r="B78" s="33"/>
      <c r="C78" s="49">
        <f>C75-C76-C77</f>
        <v>986500</v>
      </c>
      <c r="D78" s="49">
        <f t="shared" ref="D78:L78" si="39">D75-D76-D77</f>
        <v>1015570</v>
      </c>
      <c r="E78" s="49">
        <f t="shared" si="39"/>
        <v>1045221.3999999999</v>
      </c>
      <c r="F78" s="49">
        <f t="shared" si="39"/>
        <v>1075465.828</v>
      </c>
      <c r="G78" s="49">
        <f t="shared" si="39"/>
        <v>1106315.1445599999</v>
      </c>
      <c r="H78" s="49">
        <f t="shared" si="39"/>
        <v>1137781.4474511999</v>
      </c>
      <c r="I78" s="49">
        <f t="shared" si="39"/>
        <v>1169877.0764002239</v>
      </c>
      <c r="J78" s="49">
        <f t="shared" si="39"/>
        <v>1202614.6179282286</v>
      </c>
      <c r="K78" s="49">
        <f t="shared" si="39"/>
        <v>1236006.910286793</v>
      </c>
      <c r="L78" s="49">
        <f t="shared" si="39"/>
        <v>1270067.048492529</v>
      </c>
    </row>
    <row r="79" spans="1:12" x14ac:dyDescent="0.35">
      <c r="B79" s="33"/>
      <c r="C79" s="98"/>
      <c r="D79" s="98"/>
      <c r="E79" s="98"/>
      <c r="F79" s="98"/>
      <c r="G79" s="98"/>
      <c r="H79" s="98"/>
      <c r="I79" s="98"/>
      <c r="J79" s="98"/>
      <c r="K79" s="98"/>
      <c r="L79" s="98"/>
    </row>
    <row r="80" spans="1:12" x14ac:dyDescent="0.35">
      <c r="B80" s="21"/>
      <c r="C80" s="94" t="s">
        <v>140</v>
      </c>
      <c r="D80" s="94"/>
      <c r="E80" s="94"/>
      <c r="F80" s="94"/>
      <c r="G80" s="94"/>
      <c r="H80" s="94"/>
      <c r="I80" s="94"/>
      <c r="J80" s="94"/>
      <c r="K80" s="94"/>
      <c r="L80" s="94"/>
    </row>
    <row r="81" spans="1:12" x14ac:dyDescent="0.35">
      <c r="B81" s="21"/>
      <c r="C81" s="41" t="s">
        <v>95</v>
      </c>
      <c r="D81" s="41" t="s">
        <v>96</v>
      </c>
      <c r="E81" s="41" t="s">
        <v>97</v>
      </c>
      <c r="F81" s="41" t="s">
        <v>98</v>
      </c>
      <c r="G81" s="41" t="s">
        <v>99</v>
      </c>
      <c r="H81" s="41" t="s">
        <v>100</v>
      </c>
      <c r="I81" s="41" t="s">
        <v>101</v>
      </c>
      <c r="J81" s="41" t="s">
        <v>102</v>
      </c>
      <c r="K81" s="41" t="s">
        <v>103</v>
      </c>
      <c r="L81" s="41" t="s">
        <v>104</v>
      </c>
    </row>
    <row r="82" spans="1:12" x14ac:dyDescent="0.35">
      <c r="A82" t="s">
        <v>62</v>
      </c>
      <c r="B82" s="21"/>
      <c r="C82" s="39">
        <f t="shared" ref="C82:L82" si="40">C14</f>
        <v>20200</v>
      </c>
      <c r="D82" s="39">
        <f t="shared" si="40"/>
        <v>20604</v>
      </c>
      <c r="E82" s="39">
        <f t="shared" si="40"/>
        <v>21016.080000000002</v>
      </c>
      <c r="F82" s="39">
        <f t="shared" si="40"/>
        <v>21436.401600000001</v>
      </c>
      <c r="G82" s="39">
        <f t="shared" si="40"/>
        <v>21865.129632000004</v>
      </c>
      <c r="H82" s="39">
        <f t="shared" si="40"/>
        <v>22302.432224639997</v>
      </c>
      <c r="I82" s="39">
        <f t="shared" si="40"/>
        <v>22748.4808691328</v>
      </c>
      <c r="J82" s="39">
        <f t="shared" si="40"/>
        <v>23203.450486515459</v>
      </c>
      <c r="K82" s="39">
        <f t="shared" si="40"/>
        <v>23667.519496245768</v>
      </c>
      <c r="L82" s="39">
        <f t="shared" si="40"/>
        <v>24140.869886170687</v>
      </c>
    </row>
    <row r="83" spans="1:12" x14ac:dyDescent="0.35">
      <c r="A83" t="s">
        <v>63</v>
      </c>
      <c r="B83" s="21"/>
      <c r="C83" s="39">
        <f t="shared" ref="C83:L83" si="41">C19</f>
        <v>23350</v>
      </c>
      <c r="D83" s="39">
        <f t="shared" si="41"/>
        <v>23350</v>
      </c>
      <c r="E83" s="39">
        <f t="shared" si="41"/>
        <v>23350</v>
      </c>
      <c r="F83" s="39">
        <f t="shared" si="41"/>
        <v>23350</v>
      </c>
      <c r="G83" s="39">
        <f t="shared" si="41"/>
        <v>23350</v>
      </c>
      <c r="H83" s="39">
        <f t="shared" si="41"/>
        <v>23350</v>
      </c>
      <c r="I83" s="39">
        <f t="shared" si="41"/>
        <v>23350</v>
      </c>
      <c r="J83" s="39">
        <f t="shared" si="41"/>
        <v>23350</v>
      </c>
      <c r="K83" s="39">
        <f t="shared" si="41"/>
        <v>23350</v>
      </c>
      <c r="L83" s="39">
        <f t="shared" si="41"/>
        <v>23350</v>
      </c>
    </row>
    <row r="84" spans="1:12" x14ac:dyDescent="0.35">
      <c r="A84" t="s">
        <v>139</v>
      </c>
      <c r="B84" s="21"/>
      <c r="C84" s="50">
        <f>C82/C83</f>
        <v>0.86509635974304067</v>
      </c>
      <c r="D84" s="50">
        <f t="shared" ref="D84:L84" si="42">D82/D83</f>
        <v>0.88239828693790145</v>
      </c>
      <c r="E84" s="50">
        <f t="shared" si="42"/>
        <v>0.90004625267665961</v>
      </c>
      <c r="F84" s="50">
        <f t="shared" si="42"/>
        <v>0.91804717773019273</v>
      </c>
      <c r="G84" s="50">
        <f t="shared" si="42"/>
        <v>0.93640812128479678</v>
      </c>
      <c r="H84" s="50">
        <f t="shared" si="42"/>
        <v>0.95513628371049242</v>
      </c>
      <c r="I84" s="50">
        <f t="shared" si="42"/>
        <v>0.97423900938470231</v>
      </c>
      <c r="J84" s="50">
        <f t="shared" si="42"/>
        <v>0.9937237895723966</v>
      </c>
      <c r="K84" s="50">
        <f t="shared" si="42"/>
        <v>1.0135982653638445</v>
      </c>
      <c r="L84" s="50">
        <f t="shared" si="42"/>
        <v>1.0338702306711216</v>
      </c>
    </row>
    <row r="85" spans="1:12" x14ac:dyDescent="0.35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</row>
    <row r="86" spans="1:12" x14ac:dyDescent="0.35"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</row>
    <row r="87" spans="1:12" x14ac:dyDescent="0.35"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</row>
    <row r="88" spans="1:12" x14ac:dyDescent="0.35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</row>
    <row r="89" spans="1:12" x14ac:dyDescent="0.35"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</row>
    <row r="90" spans="1:12" x14ac:dyDescent="0.35"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</row>
    <row r="91" spans="1:12" x14ac:dyDescent="0.35"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</row>
    <row r="92" spans="1:12" x14ac:dyDescent="0.35"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</row>
    <row r="93" spans="1:12" x14ac:dyDescent="0.35"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</row>
    <row r="94" spans="1:12" x14ac:dyDescent="0.35"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</row>
    <row r="95" spans="1:12" x14ac:dyDescent="0.35"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</row>
    <row r="96" spans="1:12" x14ac:dyDescent="0.35"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</row>
    <row r="97" spans="2:12" x14ac:dyDescent="0.35"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</row>
    <row r="98" spans="2:12" x14ac:dyDescent="0.35"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</row>
    <row r="99" spans="2:12" x14ac:dyDescent="0.35"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</row>
    <row r="100" spans="2:12" x14ac:dyDescent="0.35"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</row>
    <row r="101" spans="2:12" x14ac:dyDescent="0.35"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</row>
    <row r="102" spans="2:12" x14ac:dyDescent="0.35"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</row>
    <row r="103" spans="2:12" x14ac:dyDescent="0.35"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</row>
    <row r="104" spans="2:12" x14ac:dyDescent="0.35"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</row>
    <row r="105" spans="2:12" x14ac:dyDescent="0.35"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</row>
    <row r="106" spans="2:12" x14ac:dyDescent="0.35"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</row>
    <row r="107" spans="2:12" x14ac:dyDescent="0.35"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</row>
    <row r="108" spans="2:12" x14ac:dyDescent="0.35"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</row>
    <row r="109" spans="2:12" x14ac:dyDescent="0.35"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</row>
    <row r="110" spans="2:12" x14ac:dyDescent="0.35"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</row>
    <row r="111" spans="2:12" x14ac:dyDescent="0.35"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</row>
    <row r="112" spans="2:12" x14ac:dyDescent="0.35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</row>
    <row r="113" spans="2:12" x14ac:dyDescent="0.3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</row>
    <row r="114" spans="2:12" x14ac:dyDescent="0.35"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</row>
    <row r="115" spans="2:12" x14ac:dyDescent="0.35"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</row>
    <row r="116" spans="2:12" x14ac:dyDescent="0.35"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</row>
    <row r="117" spans="2:12" x14ac:dyDescent="0.35"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</row>
    <row r="118" spans="2:12" x14ac:dyDescent="0.35"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</row>
    <row r="119" spans="2:12" x14ac:dyDescent="0.35"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</row>
    <row r="120" spans="2:12" x14ac:dyDescent="0.35"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</row>
    <row r="121" spans="2:12" x14ac:dyDescent="0.35"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</row>
    <row r="122" spans="2:12" x14ac:dyDescent="0.35"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</row>
    <row r="123" spans="2:12" x14ac:dyDescent="0.35"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</row>
    <row r="124" spans="2:12" x14ac:dyDescent="0.35"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</row>
    <row r="125" spans="2:12" x14ac:dyDescent="0.35"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</row>
    <row r="126" spans="2:12" x14ac:dyDescent="0.35"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</row>
    <row r="127" spans="2:12" x14ac:dyDescent="0.35"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</row>
    <row r="128" spans="2:12" x14ac:dyDescent="0.35"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</row>
    <row r="129" spans="2:12" x14ac:dyDescent="0.35"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</row>
    <row r="130" spans="2:12" x14ac:dyDescent="0.35"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</row>
    <row r="131" spans="2:12" x14ac:dyDescent="0.35"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</row>
    <row r="132" spans="2:12" x14ac:dyDescent="0.35"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</row>
    <row r="133" spans="2:12" x14ac:dyDescent="0.3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</row>
    <row r="134" spans="2:12" x14ac:dyDescent="0.3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</row>
    <row r="135" spans="2:12" x14ac:dyDescent="0.35"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</row>
    <row r="136" spans="2:12" x14ac:dyDescent="0.35"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</row>
    <row r="137" spans="2:12" x14ac:dyDescent="0.35"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</row>
    <row r="138" spans="2:12" x14ac:dyDescent="0.35"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</row>
    <row r="139" spans="2:12" x14ac:dyDescent="0.35"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</row>
    <row r="140" spans="2:12" x14ac:dyDescent="0.35"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</row>
    <row r="141" spans="2:12" x14ac:dyDescent="0.35"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</row>
    <row r="142" spans="2:12" x14ac:dyDescent="0.35"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</row>
    <row r="143" spans="2:12" x14ac:dyDescent="0.35"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</row>
    <row r="144" spans="2:12" x14ac:dyDescent="0.35"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</row>
    <row r="145" spans="2:12" x14ac:dyDescent="0.35"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</row>
    <row r="146" spans="2:12" x14ac:dyDescent="0.35"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</row>
    <row r="147" spans="2:12" x14ac:dyDescent="0.35"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</row>
    <row r="148" spans="2:12" x14ac:dyDescent="0.35"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</row>
    <row r="149" spans="2:12" x14ac:dyDescent="0.35"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</row>
    <row r="150" spans="2:12" x14ac:dyDescent="0.35"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</row>
    <row r="151" spans="2:12" x14ac:dyDescent="0.35"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</row>
    <row r="152" spans="2:12" x14ac:dyDescent="0.35"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</row>
    <row r="153" spans="2:12" x14ac:dyDescent="0.35"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</row>
    <row r="154" spans="2:12" x14ac:dyDescent="0.35"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</row>
    <row r="155" spans="2:12" x14ac:dyDescent="0.35"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</row>
    <row r="156" spans="2:12" x14ac:dyDescent="0.35"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</row>
    <row r="157" spans="2:12" x14ac:dyDescent="0.35"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</row>
    <row r="158" spans="2:12" x14ac:dyDescent="0.35"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</row>
    <row r="159" spans="2:12" x14ac:dyDescent="0.35"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</row>
    <row r="160" spans="2:12" x14ac:dyDescent="0.35"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</row>
    <row r="161" spans="2:12" x14ac:dyDescent="0.35"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</row>
    <row r="162" spans="2:12" x14ac:dyDescent="0.35"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</row>
    <row r="163" spans="2:12" x14ac:dyDescent="0.35"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</row>
    <row r="164" spans="2:12" x14ac:dyDescent="0.35"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</row>
    <row r="165" spans="2:12" x14ac:dyDescent="0.35"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</row>
    <row r="166" spans="2:12" x14ac:dyDescent="0.35"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</row>
    <row r="167" spans="2:12" x14ac:dyDescent="0.35"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</row>
    <row r="168" spans="2:12" x14ac:dyDescent="0.35"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</row>
    <row r="169" spans="2:12" x14ac:dyDescent="0.35"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</row>
    <row r="170" spans="2:12" x14ac:dyDescent="0.35"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</row>
    <row r="171" spans="2:12" x14ac:dyDescent="0.35"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</row>
    <row r="172" spans="2:12" x14ac:dyDescent="0.35"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</row>
    <row r="173" spans="2:12" x14ac:dyDescent="0.35"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</row>
    <row r="174" spans="2:12" x14ac:dyDescent="0.35"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</row>
    <row r="175" spans="2:12" x14ac:dyDescent="0.35"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</row>
    <row r="176" spans="2:12" x14ac:dyDescent="0.35"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</row>
    <row r="177" spans="2:12" x14ac:dyDescent="0.35"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</row>
    <row r="178" spans="2:12" x14ac:dyDescent="0.35"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</row>
    <row r="179" spans="2:12" x14ac:dyDescent="0.35"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</row>
    <row r="180" spans="2:12" x14ac:dyDescent="0.35"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</row>
    <row r="181" spans="2:12" x14ac:dyDescent="0.35"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</row>
    <row r="182" spans="2:12" x14ac:dyDescent="0.35"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</row>
    <row r="183" spans="2:12" x14ac:dyDescent="0.35"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</row>
    <row r="184" spans="2:12" x14ac:dyDescent="0.35"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</row>
    <row r="185" spans="2:12" x14ac:dyDescent="0.35"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</row>
    <row r="186" spans="2:12" x14ac:dyDescent="0.35"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</row>
    <row r="187" spans="2:12" x14ac:dyDescent="0.35"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</row>
    <row r="188" spans="2:12" x14ac:dyDescent="0.35"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</row>
    <row r="189" spans="2:12" x14ac:dyDescent="0.35"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</row>
    <row r="190" spans="2:12" x14ac:dyDescent="0.35"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</row>
    <row r="191" spans="2:12" x14ac:dyDescent="0.35"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</row>
    <row r="192" spans="2:12" x14ac:dyDescent="0.35"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</row>
    <row r="193" spans="2:12" x14ac:dyDescent="0.35"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</row>
    <row r="194" spans="2:12" x14ac:dyDescent="0.35"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</row>
    <row r="195" spans="2:12" x14ac:dyDescent="0.35"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</row>
    <row r="196" spans="2:12" x14ac:dyDescent="0.35"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</row>
    <row r="197" spans="2:12" x14ac:dyDescent="0.35"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</row>
    <row r="198" spans="2:12" x14ac:dyDescent="0.35"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</row>
    <row r="199" spans="2:12" x14ac:dyDescent="0.35"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</row>
    <row r="200" spans="2:12" x14ac:dyDescent="0.35"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</row>
  </sheetData>
  <sheetProtection algorithmName="SHA-512" hashValue="2i/8SzMgOtBCc1WjpbEv/jtNDqb67gNhs2WAzH03mtu33+eQFe9v2GwQ6zmQpD5LD1zJx/RcpgYg1sIYJfncKg==" saltValue="exbajJFcN7sAZ8GMeKNbGg==" spinCount="100000" sheet="1" objects="1" scenarios="1"/>
  <mergeCells count="13">
    <mergeCell ref="C80:L80"/>
    <mergeCell ref="C64:L64"/>
    <mergeCell ref="C70:L70"/>
    <mergeCell ref="C74:L74"/>
    <mergeCell ref="C79:L79"/>
    <mergeCell ref="C1:L1"/>
    <mergeCell ref="C57:L57"/>
    <mergeCell ref="C45:L45"/>
    <mergeCell ref="C38:L38"/>
    <mergeCell ref="C32:L32"/>
    <mergeCell ref="C22:L22"/>
    <mergeCell ref="C8:L8"/>
    <mergeCell ref="C16:L1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C2:M19"/>
  <sheetViews>
    <sheetView workbookViewId="0">
      <selection activeCell="I10" sqref="I10"/>
    </sheetView>
  </sheetViews>
  <sheetFormatPr defaultColWidth="8.81640625" defaultRowHeight="14.5" x14ac:dyDescent="0.35"/>
  <cols>
    <col min="1" max="2" width="8.81640625" style="18"/>
    <col min="3" max="3" width="47.26953125" style="18" customWidth="1"/>
    <col min="4" max="4" width="10.81640625" style="18" bestFit="1" customWidth="1"/>
    <col min="5" max="5" width="10.1796875" style="18" bestFit="1" customWidth="1"/>
    <col min="6" max="10" width="10.26953125" style="18" bestFit="1" customWidth="1"/>
    <col min="11" max="13" width="11.26953125" style="18" bestFit="1" customWidth="1"/>
    <col min="14" max="16384" width="8.81640625" style="18"/>
  </cols>
  <sheetData>
    <row r="2" spans="3:13" ht="15" thickBot="1" x14ac:dyDescent="0.4">
      <c r="C2" s="17" t="s">
        <v>32</v>
      </c>
    </row>
    <row r="3" spans="3:13" x14ac:dyDescent="0.35">
      <c r="C3" s="18" t="s">
        <v>33</v>
      </c>
      <c r="D3" s="51">
        <f>'First year inputs'!F3</f>
        <v>1500000</v>
      </c>
      <c r="E3" s="52"/>
      <c r="F3" s="52"/>
      <c r="G3" s="52"/>
      <c r="H3" s="52"/>
      <c r="I3" s="52"/>
      <c r="J3" s="52"/>
      <c r="K3" s="52"/>
      <c r="L3" s="52"/>
      <c r="M3" s="52"/>
    </row>
    <row r="4" spans="3:13" ht="15" thickBot="1" x14ac:dyDescent="0.4">
      <c r="C4" s="18" t="s">
        <v>29</v>
      </c>
      <c r="D4" s="53">
        <f>'First year inputs'!F10+'First year inputs'!F11</f>
        <v>1034000</v>
      </c>
      <c r="E4" s="52"/>
      <c r="F4" s="52"/>
      <c r="G4" s="52"/>
      <c r="H4" s="52"/>
      <c r="I4" s="52"/>
      <c r="J4" s="52"/>
      <c r="K4" s="52"/>
      <c r="L4" s="52"/>
      <c r="M4" s="52"/>
    </row>
    <row r="5" spans="3:13" x14ac:dyDescent="0.35">
      <c r="D5" s="52"/>
      <c r="E5" s="52"/>
      <c r="F5" s="52"/>
      <c r="G5" s="52"/>
      <c r="H5" s="52"/>
      <c r="I5" s="52"/>
      <c r="J5" s="52"/>
      <c r="K5" s="52"/>
      <c r="L5" s="52"/>
      <c r="M5" s="52"/>
    </row>
    <row r="6" spans="3:13" x14ac:dyDescent="0.35">
      <c r="C6" s="18" t="s">
        <v>34</v>
      </c>
      <c r="D6" s="54">
        <v>1</v>
      </c>
      <c r="E6" s="54">
        <v>2</v>
      </c>
      <c r="F6" s="54">
        <v>3</v>
      </c>
      <c r="G6" s="54">
        <v>4</v>
      </c>
      <c r="H6" s="54">
        <v>5</v>
      </c>
      <c r="I6" s="54">
        <v>6</v>
      </c>
      <c r="J6" s="54">
        <v>7</v>
      </c>
      <c r="K6" s="54">
        <v>8</v>
      </c>
      <c r="L6" s="54">
        <v>9</v>
      </c>
      <c r="M6" s="54">
        <v>10</v>
      </c>
    </row>
    <row r="7" spans="3:13" x14ac:dyDescent="0.35">
      <c r="C7" s="18" t="s">
        <v>141</v>
      </c>
      <c r="D7" s="55">
        <f>'10 year summary'!C78</f>
        <v>986500</v>
      </c>
      <c r="E7" s="55">
        <f>'10 year summary'!D78</f>
        <v>1015570</v>
      </c>
      <c r="F7" s="55">
        <f>'10 year summary'!E78</f>
        <v>1045221.3999999999</v>
      </c>
      <c r="G7" s="55">
        <f>'10 year summary'!F78</f>
        <v>1075465.828</v>
      </c>
      <c r="H7" s="55">
        <f>'10 year summary'!G78</f>
        <v>1106315.1445599999</v>
      </c>
      <c r="I7" s="55">
        <f>'10 year summary'!H78</f>
        <v>1137781.4474511999</v>
      </c>
      <c r="J7" s="55">
        <f>'10 year summary'!I78</f>
        <v>1169877.0764002239</v>
      </c>
      <c r="K7" s="55">
        <f>'10 year summary'!J78</f>
        <v>1202614.6179282286</v>
      </c>
      <c r="L7" s="55">
        <f>'10 year summary'!K78</f>
        <v>1236006.910286793</v>
      </c>
      <c r="M7" s="55">
        <f>'10 year summary'!L78</f>
        <v>1270067.048492529</v>
      </c>
    </row>
    <row r="8" spans="3:13" x14ac:dyDescent="0.35">
      <c r="C8" s="18" t="s">
        <v>142</v>
      </c>
      <c r="D8" s="55">
        <f>'10 year summary'!C36</f>
        <v>-2110.5</v>
      </c>
      <c r="E8" s="55">
        <f>'10 year summary'!D36</f>
        <v>-1839.82</v>
      </c>
      <c r="F8" s="55">
        <f>'10 year summary'!E36</f>
        <v>-1563.7263999999986</v>
      </c>
      <c r="G8" s="55">
        <f>'10 year summary'!F36</f>
        <v>-1282.1109279999991</v>
      </c>
      <c r="H8" s="55">
        <f>'10 year summary'!G36</f>
        <v>-994.8631465599974</v>
      </c>
      <c r="I8" s="55">
        <f>'10 year summary'!H36</f>
        <v>-701.87040949120205</v>
      </c>
      <c r="J8" s="55">
        <f>'10 year summary'!I36</f>
        <v>-403.0178176810241</v>
      </c>
      <c r="K8" s="55">
        <f>'10 year summary'!J36</f>
        <v>-98.188174034642145</v>
      </c>
      <c r="L8" s="55">
        <f>'10 year summary'!K36</f>
        <v>212.73806248466462</v>
      </c>
      <c r="M8" s="55">
        <f>'10 year summary'!L36</f>
        <v>529.88282373436027</v>
      </c>
    </row>
    <row r="9" spans="3:13" x14ac:dyDescent="0.35">
      <c r="C9" s="18" t="s">
        <v>35</v>
      </c>
      <c r="D9" s="55">
        <f>D8</f>
        <v>-2110.5</v>
      </c>
      <c r="E9" s="55">
        <f>E8+D9</f>
        <v>-3950.3199999999997</v>
      </c>
      <c r="F9" s="55">
        <f>F8+E9</f>
        <v>-5514.0463999999984</v>
      </c>
      <c r="G9" s="55">
        <f t="shared" ref="G9:M9" si="0">G8+F9</f>
        <v>-6796.1573279999975</v>
      </c>
      <c r="H9" s="55">
        <f t="shared" si="0"/>
        <v>-7791.0204745599949</v>
      </c>
      <c r="I9" s="55">
        <f t="shared" si="0"/>
        <v>-8492.8908840511976</v>
      </c>
      <c r="J9" s="55">
        <f t="shared" si="0"/>
        <v>-8895.9087017322217</v>
      </c>
      <c r="K9" s="55">
        <f t="shared" si="0"/>
        <v>-8994.0968757668634</v>
      </c>
      <c r="L9" s="55">
        <f t="shared" si="0"/>
        <v>-8781.3588132821988</v>
      </c>
      <c r="M9" s="55">
        <f t="shared" si="0"/>
        <v>-8251.4759895478383</v>
      </c>
    </row>
    <row r="10" spans="3:13" x14ac:dyDescent="0.35">
      <c r="C10" s="18" t="s">
        <v>37</v>
      </c>
      <c r="D10" s="55">
        <f>D7+D9</f>
        <v>984389.5</v>
      </c>
      <c r="E10" s="55">
        <f t="shared" ref="E10:M10" si="1">E7+E9</f>
        <v>1011619.68</v>
      </c>
      <c r="F10" s="55">
        <f t="shared" si="1"/>
        <v>1039707.3535999999</v>
      </c>
      <c r="G10" s="55">
        <f t="shared" si="1"/>
        <v>1068669.6706719999</v>
      </c>
      <c r="H10" s="55">
        <f t="shared" si="1"/>
        <v>1098524.1240854398</v>
      </c>
      <c r="I10" s="55">
        <f t="shared" si="1"/>
        <v>1129288.5565671488</v>
      </c>
      <c r="J10" s="55">
        <f t="shared" si="1"/>
        <v>1160981.1676984916</v>
      </c>
      <c r="K10" s="55">
        <f t="shared" si="1"/>
        <v>1193620.5210524618</v>
      </c>
      <c r="L10" s="55">
        <f t="shared" si="1"/>
        <v>1227225.5514735109</v>
      </c>
      <c r="M10" s="55">
        <f t="shared" si="1"/>
        <v>1261815.5725029812</v>
      </c>
    </row>
    <row r="11" spans="3:13" x14ac:dyDescent="0.35">
      <c r="C11" s="18" t="s">
        <v>36</v>
      </c>
      <c r="D11" s="55">
        <f>D10-$D$4</f>
        <v>-49610.5</v>
      </c>
      <c r="E11" s="55">
        <f t="shared" ref="E11:M11" si="2">E10-$D$4</f>
        <v>-22380.319999999949</v>
      </c>
      <c r="F11" s="55">
        <f t="shared" si="2"/>
        <v>5707.3535999999149</v>
      </c>
      <c r="G11" s="55">
        <f t="shared" si="2"/>
        <v>34669.67067199992</v>
      </c>
      <c r="H11" s="55">
        <f t="shared" si="2"/>
        <v>64524.124085439835</v>
      </c>
      <c r="I11" s="55">
        <f t="shared" si="2"/>
        <v>95288.556567148771</v>
      </c>
      <c r="J11" s="55">
        <f t="shared" si="2"/>
        <v>126981.1676984916</v>
      </c>
      <c r="K11" s="55">
        <f t="shared" si="2"/>
        <v>159620.52105246182</v>
      </c>
      <c r="L11" s="55">
        <f t="shared" si="2"/>
        <v>193225.55147351092</v>
      </c>
      <c r="M11" s="55">
        <f t="shared" si="2"/>
        <v>227815.57250298117</v>
      </c>
    </row>
    <row r="12" spans="3:13" x14ac:dyDescent="0.35"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3:13" x14ac:dyDescent="0.35">
      <c r="C13" s="18" t="s">
        <v>144</v>
      </c>
      <c r="D13" s="56">
        <f>D7/D10</f>
        <v>1.0021439684190048</v>
      </c>
      <c r="E13" s="56">
        <f t="shared" ref="E13:M13" si="3">E7/E10</f>
        <v>1.0039049457796234</v>
      </c>
      <c r="F13" s="56">
        <f t="shared" si="3"/>
        <v>1.005303460037007</v>
      </c>
      <c r="G13" s="56">
        <f t="shared" si="3"/>
        <v>1.0063594556058904</v>
      </c>
      <c r="H13" s="56">
        <f t="shared" si="3"/>
        <v>1.0070922616115021</v>
      </c>
      <c r="I13" s="56">
        <f t="shared" si="3"/>
        <v>1.0075205675596928</v>
      </c>
      <c r="J13" s="56">
        <f t="shared" si="3"/>
        <v>1.007662405686879</v>
      </c>
      <c r="K13" s="56">
        <f t="shared" si="3"/>
        <v>1.0075351392818181</v>
      </c>
      <c r="L13" s="56">
        <f t="shared" si="3"/>
        <v>1.0071554563077165</v>
      </c>
      <c r="M13" s="56">
        <f t="shared" si="3"/>
        <v>1.0065393676931564</v>
      </c>
    </row>
    <row r="14" spans="3:13" x14ac:dyDescent="0.35">
      <c r="C14" s="18" t="s">
        <v>145</v>
      </c>
      <c r="D14" s="57">
        <f>D9/D10</f>
        <v>-2.1439684190048755E-3</v>
      </c>
      <c r="E14" s="57">
        <f t="shared" ref="E14:M14" si="4">E9/E10</f>
        <v>-3.9049457796234248E-3</v>
      </c>
      <c r="F14" s="57">
        <f t="shared" si="4"/>
        <v>-5.3034600370070895E-3</v>
      </c>
      <c r="G14" s="57">
        <f t="shared" si="4"/>
        <v>-6.3594556058903066E-3</v>
      </c>
      <c r="H14" s="57">
        <f t="shared" si="4"/>
        <v>-7.0922616115019731E-3</v>
      </c>
      <c r="I14" s="57">
        <f t="shared" si="4"/>
        <v>-7.5205675596927918E-3</v>
      </c>
      <c r="J14" s="57">
        <f t="shared" si="4"/>
        <v>-7.6624056868788946E-3</v>
      </c>
      <c r="K14" s="57">
        <f t="shared" si="4"/>
        <v>-7.5351392818183262E-3</v>
      </c>
      <c r="L14" s="57">
        <f t="shared" si="4"/>
        <v>-7.1554563077166665E-3</v>
      </c>
      <c r="M14" s="57">
        <f t="shared" si="4"/>
        <v>-6.5393676931565555E-3</v>
      </c>
    </row>
    <row r="15" spans="3:13" x14ac:dyDescent="0.35">
      <c r="D15" s="52"/>
      <c r="E15" s="52"/>
      <c r="F15" s="52"/>
      <c r="G15" s="52"/>
      <c r="H15" s="52"/>
      <c r="I15" s="52"/>
      <c r="J15" s="52"/>
      <c r="K15" s="52"/>
      <c r="L15" s="52"/>
      <c r="M15" s="52"/>
    </row>
    <row r="16" spans="3:13" x14ac:dyDescent="0.35">
      <c r="C16" s="18" t="s">
        <v>38</v>
      </c>
      <c r="D16" s="58">
        <f>RATE(D6,D8,-D4,D7)</f>
        <v>-4.7979206963249532E-2</v>
      </c>
      <c r="E16" s="58">
        <f>RATE(E6,D8:E8,-$D$4,E7)</f>
        <v>-1.0739428486421761E-2</v>
      </c>
      <c r="F16" s="58">
        <f>RATE(F6,D8:F8,-$D$4,F7)</f>
        <v>2.0975873031887572E-3</v>
      </c>
      <c r="G16" s="58">
        <f>RATE(G6,D8:G8,-$D$4,G7)</f>
        <v>8.6563913907453816E-3</v>
      </c>
      <c r="H16" s="58">
        <f>RATE(H6,D8:H8,-$D$4,H7)</f>
        <v>1.2675184140784229E-2</v>
      </c>
      <c r="I16" s="58">
        <f>RATE(I6,D8:I8,-$D$4,I7)</f>
        <v>1.5416155162997509E-2</v>
      </c>
      <c r="J16" s="58">
        <f>RATE(J6,D8:J8,-$D$4,J7)</f>
        <v>1.7424264620510846E-2</v>
      </c>
      <c r="K16" s="58">
        <f>RATE(K6,D8:K8,-$D$4,K7)</f>
        <v>1.8973347916989597E-2</v>
      </c>
      <c r="L16" s="58">
        <f>RATE(L6,D8:L8,-$D$4,L7)</f>
        <v>2.021609602848717E-2</v>
      </c>
      <c r="M16" s="58">
        <f>RATE(M6,D8:M8,-$D$4,M7)</f>
        <v>2.1244395031888182E-2</v>
      </c>
    </row>
    <row r="17" spans="3:5" x14ac:dyDescent="0.35">
      <c r="D17" s="20"/>
      <c r="E17" s="19"/>
    </row>
    <row r="19" spans="3:5" x14ac:dyDescent="0.35">
      <c r="C19" s="19"/>
    </row>
  </sheetData>
  <sheetProtection algorithmName="SHA-512" hashValue="q21AlJj5UZc6uGZugV1auw0S2SttELU2nZt3/s79s5W+4hp2pPISK11pFTj9UvtTfA/l6b5r57YcJONKKXs4nw==" saltValue="Tc7ilZcIP1xGfvBfwFxKHw==" spinCount="100000" sheet="1" objects="1" scenarios="1"/>
  <conditionalFormatting sqref="D16:M1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B1:L13"/>
  <sheetViews>
    <sheetView workbookViewId="0">
      <selection activeCell="E3" sqref="E3"/>
    </sheetView>
  </sheetViews>
  <sheetFormatPr defaultRowHeight="14.5" x14ac:dyDescent="0.35"/>
  <cols>
    <col min="2" max="2" width="11.81640625" bestFit="1" customWidth="1"/>
    <col min="3" max="3" width="17.81640625" customWidth="1"/>
    <col min="4" max="4" width="13.81640625" customWidth="1"/>
    <col min="5" max="5" width="16.453125" bestFit="1" customWidth="1"/>
    <col min="6" max="6" width="17.26953125" bestFit="1" customWidth="1"/>
    <col min="7" max="7" width="18.453125" bestFit="1" customWidth="1"/>
    <col min="9" max="9" width="29.81640625" bestFit="1" customWidth="1"/>
    <col min="10" max="10" width="13.7265625" customWidth="1"/>
    <col min="11" max="11" width="20.7265625" customWidth="1"/>
    <col min="12" max="12" width="18.7265625" customWidth="1"/>
    <col min="13" max="13" width="27.7265625" customWidth="1"/>
    <col min="15" max="15" width="17.81640625" customWidth="1"/>
  </cols>
  <sheetData>
    <row r="1" spans="2:12" ht="15" thickBot="1" x14ac:dyDescent="0.4"/>
    <row r="2" spans="2:12" x14ac:dyDescent="0.35">
      <c r="B2" s="10" t="s">
        <v>34</v>
      </c>
      <c r="C2" s="11" t="s">
        <v>47</v>
      </c>
      <c r="D2" s="11" t="s">
        <v>41</v>
      </c>
      <c r="E2" s="11" t="s">
        <v>48</v>
      </c>
      <c r="F2" s="11" t="s">
        <v>49</v>
      </c>
      <c r="G2" s="12" t="s">
        <v>50</v>
      </c>
      <c r="I2" s="14" t="s">
        <v>53</v>
      </c>
      <c r="J2" s="15"/>
      <c r="K2" s="15"/>
      <c r="L2" s="16"/>
    </row>
    <row r="3" spans="2:12" x14ac:dyDescent="0.35">
      <c r="B3" s="60">
        <v>1</v>
      </c>
      <c r="C3" s="24">
        <f>J3</f>
        <v>467000</v>
      </c>
      <c r="D3" s="24">
        <f t="shared" ref="D3:D12" si="0">$J$7</f>
        <v>38641.919848280166</v>
      </c>
      <c r="E3" s="24">
        <f t="shared" ref="E3:E12" si="1">C3*$J$6</f>
        <v>23350</v>
      </c>
      <c r="F3" s="24">
        <f>D3-E3</f>
        <v>15291.919848280166</v>
      </c>
      <c r="G3" s="61">
        <f>C3-F3</f>
        <v>451708.08015171986</v>
      </c>
      <c r="H3" s="23"/>
      <c r="I3" s="60" t="s">
        <v>40</v>
      </c>
      <c r="J3" s="24">
        <f>'First year inputs'!F4</f>
        <v>467000</v>
      </c>
      <c r="K3" s="23" t="s">
        <v>41</v>
      </c>
      <c r="L3" s="61">
        <f>D13</f>
        <v>386419.19848280161</v>
      </c>
    </row>
    <row r="4" spans="2:12" x14ac:dyDescent="0.35">
      <c r="B4" s="60">
        <f>B3+1</f>
        <v>2</v>
      </c>
      <c r="C4" s="24">
        <f>G3</f>
        <v>451708.08015171986</v>
      </c>
      <c r="D4" s="24">
        <f t="shared" si="0"/>
        <v>38641.919848280166</v>
      </c>
      <c r="E4" s="24">
        <f t="shared" si="1"/>
        <v>22585.404007585996</v>
      </c>
      <c r="F4" s="24">
        <f t="shared" ref="F4:F12" si="2">D4-E4</f>
        <v>16056.51584069417</v>
      </c>
      <c r="G4" s="61">
        <f t="shared" ref="G4:G12" si="3">C4-F4</f>
        <v>435651.56431102566</v>
      </c>
      <c r="H4" s="23"/>
      <c r="I4" s="60" t="s">
        <v>51</v>
      </c>
      <c r="J4" s="38">
        <f>'First year inputs'!F6</f>
        <v>19</v>
      </c>
      <c r="K4" s="23" t="s">
        <v>42</v>
      </c>
      <c r="L4" s="61">
        <f>E13</f>
        <v>194079.07396890764</v>
      </c>
    </row>
    <row r="5" spans="2:12" x14ac:dyDescent="0.35">
      <c r="B5" s="60">
        <f t="shared" ref="B5:B12" si="4">B4+1</f>
        <v>3</v>
      </c>
      <c r="C5" s="24">
        <f>G4</f>
        <v>435651.56431102566</v>
      </c>
      <c r="D5" s="24">
        <f t="shared" si="0"/>
        <v>38641.919848280166</v>
      </c>
      <c r="E5" s="24">
        <f t="shared" si="1"/>
        <v>21782.578215551286</v>
      </c>
      <c r="F5" s="24">
        <f t="shared" si="2"/>
        <v>16859.34163272888</v>
      </c>
      <c r="G5" s="61">
        <f t="shared" si="3"/>
        <v>418792.22267829679</v>
      </c>
      <c r="H5" s="23"/>
      <c r="I5" s="60" t="s">
        <v>43</v>
      </c>
      <c r="J5" s="38">
        <f>'First year inputs'!F6</f>
        <v>19</v>
      </c>
      <c r="K5" s="23" t="s">
        <v>44</v>
      </c>
      <c r="L5" s="61">
        <f>F13</f>
        <v>192340.12451389403</v>
      </c>
    </row>
    <row r="6" spans="2:12" x14ac:dyDescent="0.35">
      <c r="B6" s="60">
        <f t="shared" si="4"/>
        <v>4</v>
      </c>
      <c r="C6" s="24">
        <f t="shared" ref="C6:C12" si="5">G5</f>
        <v>418792.22267829679</v>
      </c>
      <c r="D6" s="24">
        <f t="shared" si="0"/>
        <v>38641.919848280166</v>
      </c>
      <c r="E6" s="24">
        <f t="shared" si="1"/>
        <v>20939.611133914841</v>
      </c>
      <c r="F6" s="24">
        <f t="shared" si="2"/>
        <v>17702.308714365325</v>
      </c>
      <c r="G6" s="61">
        <f t="shared" si="3"/>
        <v>401089.9139639315</v>
      </c>
      <c r="H6" s="23"/>
      <c r="I6" s="60" t="s">
        <v>45</v>
      </c>
      <c r="J6" s="31">
        <f>'First year inputs'!F5</f>
        <v>0.05</v>
      </c>
      <c r="K6" s="23"/>
      <c r="L6" s="62"/>
    </row>
    <row r="7" spans="2:12" ht="15" thickBot="1" x14ac:dyDescent="0.4">
      <c r="B7" s="60">
        <f t="shared" si="4"/>
        <v>5</v>
      </c>
      <c r="C7" s="24">
        <f t="shared" si="5"/>
        <v>401089.9139639315</v>
      </c>
      <c r="D7" s="24">
        <f t="shared" si="0"/>
        <v>38641.919848280166</v>
      </c>
      <c r="E7" s="24">
        <f t="shared" si="1"/>
        <v>20054.495698196577</v>
      </c>
      <c r="F7" s="24">
        <f t="shared" si="2"/>
        <v>18587.424150083589</v>
      </c>
      <c r="G7" s="61">
        <f t="shared" si="3"/>
        <v>382502.48981384793</v>
      </c>
      <c r="H7" s="23"/>
      <c r="I7" s="63" t="s">
        <v>70</v>
      </c>
      <c r="J7" s="64">
        <f>'First year inputs'!F8</f>
        <v>38641.919848280166</v>
      </c>
      <c r="K7" s="65"/>
      <c r="L7" s="66"/>
    </row>
    <row r="8" spans="2:12" x14ac:dyDescent="0.35">
      <c r="B8" s="60">
        <f t="shared" si="4"/>
        <v>6</v>
      </c>
      <c r="C8" s="24">
        <f t="shared" si="5"/>
        <v>382502.48981384793</v>
      </c>
      <c r="D8" s="24">
        <f t="shared" si="0"/>
        <v>38641.919848280166</v>
      </c>
      <c r="E8" s="24">
        <f t="shared" si="1"/>
        <v>19125.124490692397</v>
      </c>
      <c r="F8" s="24">
        <f t="shared" si="2"/>
        <v>19516.795357587769</v>
      </c>
      <c r="G8" s="61">
        <f t="shared" si="3"/>
        <v>362985.69445626019</v>
      </c>
      <c r="H8" s="23"/>
      <c r="I8" s="23"/>
      <c r="J8" s="23"/>
      <c r="K8" s="23"/>
      <c r="L8" s="23"/>
    </row>
    <row r="9" spans="2:12" x14ac:dyDescent="0.35">
      <c r="B9" s="60">
        <f t="shared" si="4"/>
        <v>7</v>
      </c>
      <c r="C9" s="24">
        <f t="shared" si="5"/>
        <v>362985.69445626019</v>
      </c>
      <c r="D9" s="24">
        <f t="shared" si="0"/>
        <v>38641.919848280166</v>
      </c>
      <c r="E9" s="24">
        <f t="shared" si="1"/>
        <v>18149.284722813009</v>
      </c>
      <c r="F9" s="24">
        <f t="shared" si="2"/>
        <v>20492.635125467157</v>
      </c>
      <c r="G9" s="61">
        <f t="shared" si="3"/>
        <v>342493.05933079304</v>
      </c>
      <c r="H9" s="23"/>
      <c r="I9" s="23"/>
      <c r="J9" s="23"/>
      <c r="K9" s="23"/>
      <c r="L9" s="23"/>
    </row>
    <row r="10" spans="2:12" x14ac:dyDescent="0.35">
      <c r="B10" s="60">
        <f t="shared" si="4"/>
        <v>8</v>
      </c>
      <c r="C10" s="24">
        <f t="shared" si="5"/>
        <v>342493.05933079304</v>
      </c>
      <c r="D10" s="24">
        <f t="shared" si="0"/>
        <v>38641.919848280166</v>
      </c>
      <c r="E10" s="24">
        <f t="shared" si="1"/>
        <v>17124.652966539652</v>
      </c>
      <c r="F10" s="24">
        <f t="shared" si="2"/>
        <v>21517.266881740514</v>
      </c>
      <c r="G10" s="61">
        <f t="shared" si="3"/>
        <v>320975.7924490525</v>
      </c>
      <c r="H10" s="23"/>
      <c r="I10" s="23"/>
      <c r="J10" s="23"/>
      <c r="K10" s="23"/>
      <c r="L10" s="23"/>
    </row>
    <row r="11" spans="2:12" x14ac:dyDescent="0.35">
      <c r="B11" s="60">
        <f t="shared" si="4"/>
        <v>9</v>
      </c>
      <c r="C11" s="24">
        <f t="shared" si="5"/>
        <v>320975.7924490525</v>
      </c>
      <c r="D11" s="24">
        <f t="shared" si="0"/>
        <v>38641.919848280166</v>
      </c>
      <c r="E11" s="24">
        <f t="shared" si="1"/>
        <v>16048.789622452627</v>
      </c>
      <c r="F11" s="24">
        <f t="shared" si="2"/>
        <v>22593.130225827539</v>
      </c>
      <c r="G11" s="61">
        <f t="shared" si="3"/>
        <v>298382.66222322499</v>
      </c>
      <c r="H11" s="23"/>
      <c r="I11" s="23"/>
      <c r="J11" s="23"/>
      <c r="K11" s="23"/>
      <c r="L11" s="23"/>
    </row>
    <row r="12" spans="2:12" x14ac:dyDescent="0.35">
      <c r="B12" s="60">
        <f t="shared" si="4"/>
        <v>10</v>
      </c>
      <c r="C12" s="24">
        <f t="shared" si="5"/>
        <v>298382.66222322499</v>
      </c>
      <c r="D12" s="24">
        <f t="shared" si="0"/>
        <v>38641.919848280166</v>
      </c>
      <c r="E12" s="24">
        <f t="shared" si="1"/>
        <v>14919.133111161251</v>
      </c>
      <c r="F12" s="24">
        <f t="shared" si="2"/>
        <v>23722.786737118913</v>
      </c>
      <c r="G12" s="67">
        <f t="shared" si="3"/>
        <v>274659.87548610609</v>
      </c>
      <c r="H12" s="23"/>
      <c r="I12" s="23"/>
      <c r="J12" s="23"/>
      <c r="K12" s="23"/>
      <c r="L12" s="23"/>
    </row>
    <row r="13" spans="2:12" ht="15" thickBot="1" x14ac:dyDescent="0.4">
      <c r="B13" s="68" t="s">
        <v>52</v>
      </c>
      <c r="C13" s="65"/>
      <c r="D13" s="69">
        <f>SUM(D3:D12)</f>
        <v>386419.19848280161</v>
      </c>
      <c r="E13" s="69">
        <f>SUM(E3:E12)</f>
        <v>194079.07396890764</v>
      </c>
      <c r="F13" s="69">
        <f>SUM(F3:F12)</f>
        <v>192340.12451389403</v>
      </c>
      <c r="G13" s="66"/>
      <c r="H13" s="23"/>
      <c r="I13" s="23"/>
      <c r="J13" s="23"/>
      <c r="K13" s="23"/>
      <c r="L13" s="23"/>
    </row>
  </sheetData>
  <sheetProtection algorithmName="SHA-512" hashValue="AhpnxiKai/vgnCQYIl9/dYitvlzJGrhWcxeRsSaFYzDwGedEtZL3qZt0o2l9Y2tKiN9nVD/Gi6rY0+KnMOJG7Q==" saltValue="nfLJtYuXOLnDoxQT8nmuD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First year inputs</vt:lpstr>
      <vt:lpstr>First year summary</vt:lpstr>
      <vt:lpstr>10 year summary</vt:lpstr>
      <vt:lpstr>Return on investment</vt:lpstr>
      <vt:lpstr>Mortgage schedule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2017-06-14T02:29:48Z</dcterms:created>
  <dcterms:modified xsi:type="dcterms:W3CDTF">2024-02-11T23:12:44Z</dcterms:modified>
</cp:coreProperties>
</file>